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karseladze\Desktop\"/>
    </mc:Choice>
  </mc:AlternateContent>
  <bookViews>
    <workbookView minimized="1" xWindow="0" yWindow="0" windowWidth="28800" windowHeight="12450" tabRatio="926" activeTab="4"/>
  </bookViews>
  <sheets>
    <sheet name="თ.ფ-1" sheetId="54" r:id="rId1"/>
    <sheet name="თ.ფ-1 (2)" sheetId="55" r:id="rId2"/>
    <sheet name="გბ" sheetId="53" r:id="rId3"/>
    <sheet name="კრებ-1" sheetId="29" r:id="rId4"/>
    <sheet name="1-1-სამ-აფრიკა" sheetId="33" r:id="rId5"/>
    <sheet name="1-2-წკ" sheetId="37" r:id="rId6"/>
    <sheet name="1-3-გარე ქსელები" sheetId="38" r:id="rId7"/>
    <sheet name="1-4 ელ" sheetId="115" r:id="rId8"/>
    <sheet name="1-5-ვკ" sheetId="124" r:id="rId9"/>
    <sheet name="1-6-ეზო" sheetId="137" r:id="rId10"/>
  </sheets>
  <definedNames>
    <definedName name="_xlnm._FilterDatabase" localSheetId="4" hidden="1">'1-1-სამ-აფრიკა'!$A$6:$L$287</definedName>
    <definedName name="_xlnm._FilterDatabase" localSheetId="5" hidden="1">'1-2-წკ'!$A$8:$L$544</definedName>
    <definedName name="_xlnm._FilterDatabase" localSheetId="6" hidden="1">'1-3-გარე ქსელები'!$A$8:$L$62</definedName>
    <definedName name="_xlnm._FilterDatabase" localSheetId="7" hidden="1">'1-4 ელ'!$A$8:$L$86</definedName>
    <definedName name="_xlnm._FilterDatabase" localSheetId="8" hidden="1">'1-5-ვკ'!$A$8:$L$57</definedName>
    <definedName name="_xlnm._FilterDatabase" localSheetId="9" hidden="1">'1-6-ეზო'!$A$6:$L$332</definedName>
    <definedName name="_xlnm.Print_Area" localSheetId="4">'1-1-სამ-აფრიკა'!$A$1:$L$258</definedName>
    <definedName name="_xlnm.Print_Area" localSheetId="5">'1-2-წკ'!$A$1:$L$75</definedName>
    <definedName name="_xlnm.Print_Area" localSheetId="6">'1-3-გარე ქსელები'!$A$1:$L$61</definedName>
    <definedName name="_xlnm.Print_Area" localSheetId="8">'1-5-ვკ'!$A$1:$L$57</definedName>
    <definedName name="_xlnm.Print_Area" localSheetId="9">'1-6-ეზო'!$A$1:$L$303</definedName>
    <definedName name="_xlnm.Print_Area" localSheetId="2">გბ!$A$1:$N$11</definedName>
    <definedName name="_xlnm.Print_Titles" localSheetId="4">'1-1-სამ-აფრიკა'!$3:$6</definedName>
    <definedName name="_xlnm.Print_Titles" localSheetId="5">'1-2-წკ'!$6:$8</definedName>
    <definedName name="_xlnm.Print_Titles" localSheetId="6">'1-3-გარე ქსელები'!$6:$8</definedName>
    <definedName name="_xlnm.Print_Titles" localSheetId="8">'1-5-ვკ'!$6:$8</definedName>
    <definedName name="_xlnm.Print_Titles" localSheetId="9">'1-6-ეზო'!$3:$6</definedName>
    <definedName name="Summary" localSheetId="4">#REF!</definedName>
    <definedName name="Summary" localSheetId="7">#REF!</definedName>
    <definedName name="Summary" localSheetId="8">#REF!</definedName>
    <definedName name="Summary" localSheetId="9">#REF!</definedName>
    <definedName name="Summary" localSheetId="1">#REF!</definedName>
    <definedName name="Summary" localSheetId="3">#REF!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38" l="1"/>
  <c r="E65" i="115" l="1"/>
  <c r="G65" i="115" s="1"/>
  <c r="L65" i="115" s="1"/>
  <c r="E63" i="115"/>
  <c r="I63" i="115" s="1"/>
  <c r="L63" i="115" s="1"/>
  <c r="E60" i="115"/>
  <c r="E61" i="115" s="1"/>
  <c r="I61" i="115" s="1"/>
  <c r="L61" i="115" s="1"/>
  <c r="E44" i="38" l="1"/>
  <c r="G44" i="38" s="1"/>
  <c r="L44" i="38" s="1"/>
  <c r="G43" i="38"/>
  <c r="L43" i="38" s="1"/>
  <c r="G42" i="38"/>
  <c r="L42" i="38" s="1"/>
  <c r="G41" i="38"/>
  <c r="L41" i="38" s="1"/>
  <c r="E40" i="38"/>
  <c r="G40" i="38" s="1"/>
  <c r="L40" i="38" s="1"/>
  <c r="E39" i="38"/>
  <c r="K39" i="38" s="1"/>
  <c r="L39" i="38" s="1"/>
  <c r="E38" i="38"/>
  <c r="I38" i="38" s="1"/>
  <c r="L38" i="38" s="1"/>
  <c r="E170" i="33"/>
  <c r="G170" i="33" s="1"/>
  <c r="L170" i="33" s="1"/>
  <c r="E168" i="33"/>
  <c r="I168" i="33" s="1"/>
  <c r="L168" i="33" s="1"/>
  <c r="E169" i="33"/>
  <c r="G169" i="33" s="1"/>
  <c r="L169" i="33" s="1"/>
  <c r="G104" i="137" l="1"/>
  <c r="L104" i="137" s="1"/>
  <c r="E179" i="33"/>
  <c r="E245" i="33" l="1"/>
  <c r="G245" i="33" s="1"/>
  <c r="L245" i="33" s="1"/>
  <c r="E244" i="33"/>
  <c r="G244" i="33" s="1"/>
  <c r="L244" i="33" s="1"/>
  <c r="E243" i="33"/>
  <c r="G243" i="33" s="1"/>
  <c r="L243" i="33" s="1"/>
  <c r="E242" i="33"/>
  <c r="G242" i="33" s="1"/>
  <c r="L242" i="33" s="1"/>
  <c r="E241" i="33"/>
  <c r="K241" i="33" s="1"/>
  <c r="L241" i="33" s="1"/>
  <c r="E240" i="33"/>
  <c r="I240" i="33" s="1"/>
  <c r="L240" i="33" s="1"/>
  <c r="E22" i="124" l="1"/>
  <c r="K12" i="38" l="1"/>
  <c r="L12" i="38" s="1"/>
  <c r="E10" i="38"/>
  <c r="D34" i="38"/>
  <c r="E34" i="38" s="1"/>
  <c r="G34" i="38" s="1"/>
  <c r="L34" i="38" s="1"/>
  <c r="D254" i="137" l="1"/>
  <c r="D253" i="137"/>
  <c r="D245" i="137"/>
  <c r="D246" i="137"/>
  <c r="G29" i="38"/>
  <c r="L29" i="38" s="1"/>
  <c r="G28" i="38"/>
  <c r="L28" i="38" s="1"/>
  <c r="G61" i="37" l="1"/>
  <c r="L61" i="37" s="1"/>
  <c r="G32" i="37"/>
  <c r="L32" i="37" s="1"/>
  <c r="G44" i="37"/>
  <c r="L44" i="37" s="1"/>
  <c r="G67" i="37"/>
  <c r="L67" i="37" s="1"/>
  <c r="G54" i="37" l="1"/>
  <c r="L54" i="37" s="1"/>
  <c r="G60" i="37"/>
  <c r="L60" i="37" s="1"/>
  <c r="D60" i="137" l="1"/>
  <c r="D48" i="33"/>
  <c r="E189" i="137" l="1"/>
  <c r="I189" i="137" s="1"/>
  <c r="L189" i="137" s="1"/>
  <c r="E11" i="124" l="1"/>
  <c r="I11" i="124" s="1"/>
  <c r="L11" i="124" s="1"/>
  <c r="D213" i="33"/>
  <c r="D95" i="33"/>
  <c r="D90" i="33"/>
  <c r="D85" i="33"/>
  <c r="E44" i="33" l="1"/>
  <c r="I44" i="33" s="1"/>
  <c r="L44" i="33" s="1"/>
  <c r="E56" i="137"/>
  <c r="I56" i="137" s="1"/>
  <c r="L56" i="137" s="1"/>
  <c r="E50" i="33"/>
  <c r="K50" i="33" s="1"/>
  <c r="L50" i="33" s="1"/>
  <c r="E62" i="137"/>
  <c r="K62" i="137" s="1"/>
  <c r="L62" i="137" s="1"/>
  <c r="E60" i="137"/>
  <c r="K60" i="137" s="1"/>
  <c r="L60" i="137" s="1"/>
  <c r="K58" i="137"/>
  <c r="L58" i="137" s="1"/>
  <c r="K46" i="33"/>
  <c r="L46" i="33" s="1"/>
  <c r="E48" i="33"/>
  <c r="K48" i="33" s="1"/>
  <c r="L48" i="33" s="1"/>
  <c r="G186" i="137"/>
  <c r="L186" i="137" s="1"/>
  <c r="G185" i="137"/>
  <c r="L185" i="137" s="1"/>
  <c r="E160" i="33" l="1"/>
  <c r="G160" i="33" s="1"/>
  <c r="L160" i="33" s="1"/>
  <c r="E159" i="33"/>
  <c r="G159" i="33" s="1"/>
  <c r="L159" i="33" s="1"/>
  <c r="E158" i="33"/>
  <c r="I158" i="33" s="1"/>
  <c r="L158" i="33" s="1"/>
  <c r="E226" i="137" l="1"/>
  <c r="G226" i="137" s="1"/>
  <c r="L226" i="137" s="1"/>
  <c r="E225" i="137"/>
  <c r="G225" i="137" s="1"/>
  <c r="L225" i="137" s="1"/>
  <c r="E224" i="137"/>
  <c r="K224" i="137" s="1"/>
  <c r="L224" i="137" s="1"/>
  <c r="E223" i="137"/>
  <c r="K223" i="137" s="1"/>
  <c r="L223" i="137" s="1"/>
  <c r="E222" i="137"/>
  <c r="K222" i="137" s="1"/>
  <c r="L222" i="137" s="1"/>
  <c r="E221" i="137"/>
  <c r="K221" i="137" s="1"/>
  <c r="L221" i="137" s="1"/>
  <c r="E220" i="137"/>
  <c r="K220" i="137" s="1"/>
  <c r="L220" i="137" s="1"/>
  <c r="E219" i="137"/>
  <c r="I219" i="137" s="1"/>
  <c r="L219" i="137" s="1"/>
  <c r="E177" i="137" l="1"/>
  <c r="G177" i="137" s="1"/>
  <c r="L177" i="137" s="1"/>
  <c r="E176" i="137"/>
  <c r="G176" i="137" s="1"/>
  <c r="L176" i="137" s="1"/>
  <c r="E171" i="137"/>
  <c r="G171" i="137" s="1"/>
  <c r="L171" i="137" s="1"/>
  <c r="E170" i="137"/>
  <c r="G170" i="137" s="1"/>
  <c r="L170" i="137" s="1"/>
  <c r="E169" i="137"/>
  <c r="K169" i="137" s="1"/>
  <c r="L169" i="137" s="1"/>
  <c r="E168" i="137"/>
  <c r="I168" i="137" s="1"/>
  <c r="L168" i="137" s="1"/>
  <c r="G75" i="137"/>
  <c r="L75" i="137" s="1"/>
  <c r="E225" i="33"/>
  <c r="G225" i="33" s="1"/>
  <c r="L225" i="33" s="1"/>
  <c r="E226" i="33"/>
  <c r="G226" i="33" s="1"/>
  <c r="L226" i="33" s="1"/>
  <c r="D224" i="33"/>
  <c r="E224" i="33" s="1"/>
  <c r="G224" i="33" s="1"/>
  <c r="L224" i="33" s="1"/>
  <c r="D223" i="33"/>
  <c r="E223" i="33" s="1"/>
  <c r="K223" i="33" s="1"/>
  <c r="L223" i="33" s="1"/>
  <c r="E222" i="33"/>
  <c r="I222" i="33" s="1"/>
  <c r="L222" i="33" s="1"/>
  <c r="E113" i="33" l="1"/>
  <c r="E117" i="33" s="1"/>
  <c r="G117" i="33" s="1"/>
  <c r="L117" i="33" s="1"/>
  <c r="E204" i="33"/>
  <c r="E250" i="33"/>
  <c r="G250" i="33" s="1"/>
  <c r="L250" i="33" s="1"/>
  <c r="E249" i="33"/>
  <c r="G249" i="33" s="1"/>
  <c r="L249" i="33" s="1"/>
  <c r="E251" i="33"/>
  <c r="G251" i="33" s="1"/>
  <c r="L251" i="33" s="1"/>
  <c r="E248" i="33"/>
  <c r="K248" i="33" s="1"/>
  <c r="L248" i="33" s="1"/>
  <c r="E247" i="33"/>
  <c r="I247" i="33" s="1"/>
  <c r="L247" i="33" s="1"/>
  <c r="E82" i="33"/>
  <c r="E36" i="33"/>
  <c r="K36" i="33" s="1"/>
  <c r="L36" i="33" s="1"/>
  <c r="E35" i="33"/>
  <c r="I35" i="33" s="1"/>
  <c r="L35" i="33" s="1"/>
  <c r="E24" i="33"/>
  <c r="K24" i="33" s="1"/>
  <c r="L24" i="33" s="1"/>
  <c r="E23" i="33"/>
  <c r="K23" i="33" s="1"/>
  <c r="L23" i="33" s="1"/>
  <c r="E22" i="33"/>
  <c r="I22" i="33" s="1"/>
  <c r="L22" i="33" s="1"/>
  <c r="E20" i="33"/>
  <c r="K20" i="33" s="1"/>
  <c r="L20" i="33" s="1"/>
  <c r="E19" i="33"/>
  <c r="I19" i="33" s="1"/>
  <c r="L19" i="33" s="1"/>
  <c r="E115" i="33" l="1"/>
  <c r="K115" i="33" s="1"/>
  <c r="L115" i="33" s="1"/>
  <c r="E118" i="33"/>
  <c r="G118" i="33" s="1"/>
  <c r="L118" i="33" s="1"/>
  <c r="E119" i="33" l="1"/>
  <c r="E120" i="33" s="1"/>
  <c r="I120" i="33" s="1"/>
  <c r="L120" i="33" s="1"/>
  <c r="G116" i="33"/>
  <c r="L116" i="33" s="1"/>
  <c r="E201" i="33"/>
  <c r="G201" i="33" s="1"/>
  <c r="L201" i="33" s="1"/>
  <c r="E203" i="33"/>
  <c r="G203" i="33" s="1"/>
  <c r="L203" i="33" s="1"/>
  <c r="E202" i="33"/>
  <c r="G202" i="33" s="1"/>
  <c r="L202" i="33" s="1"/>
  <c r="E200" i="33"/>
  <c r="K200" i="33" s="1"/>
  <c r="L200" i="33" s="1"/>
  <c r="E199" i="33"/>
  <c r="I199" i="33" s="1"/>
  <c r="L199" i="33" s="1"/>
  <c r="G90" i="137"/>
  <c r="L90" i="137" s="1"/>
  <c r="E51" i="137"/>
  <c r="E35" i="137"/>
  <c r="E30" i="137"/>
  <c r="K30" i="137" s="1"/>
  <c r="L30" i="137" s="1"/>
  <c r="E34" i="137"/>
  <c r="I34" i="137" s="1"/>
  <c r="L34" i="137" s="1"/>
  <c r="E36" i="137" l="1"/>
  <c r="I36" i="137" s="1"/>
  <c r="L36" i="137" s="1"/>
  <c r="E52" i="137"/>
  <c r="E54" i="137" s="1"/>
  <c r="K54" i="137" s="1"/>
  <c r="L54" i="137" s="1"/>
  <c r="E37" i="137"/>
  <c r="K37" i="137" s="1"/>
  <c r="L37" i="137" s="1"/>
  <c r="E53" i="137"/>
  <c r="K53" i="137" s="1"/>
  <c r="L53" i="137" s="1"/>
  <c r="I52" i="137" l="1"/>
  <c r="L52" i="137" s="1"/>
  <c r="E105" i="137"/>
  <c r="G203" i="137"/>
  <c r="L203" i="137" s="1"/>
  <c r="E201" i="137"/>
  <c r="E202" i="137" s="1"/>
  <c r="I202" i="137" s="1"/>
  <c r="L202" i="137" s="1"/>
  <c r="E204" i="137"/>
  <c r="D207" i="137"/>
  <c r="E147" i="137"/>
  <c r="G144" i="137"/>
  <c r="L144" i="137" s="1"/>
  <c r="E140" i="137"/>
  <c r="E145" i="137" s="1"/>
  <c r="G145" i="137" s="1"/>
  <c r="L145" i="137" s="1"/>
  <c r="E143" i="137"/>
  <c r="G143" i="137" s="1"/>
  <c r="L143" i="137" s="1"/>
  <c r="E134" i="137"/>
  <c r="I135" i="137" s="1"/>
  <c r="L135" i="137" s="1"/>
  <c r="E137" i="137"/>
  <c r="G137" i="137" s="1"/>
  <c r="L137" i="137" s="1"/>
  <c r="D150" i="137"/>
  <c r="E149" i="137" l="1"/>
  <c r="K149" i="137" s="1"/>
  <c r="L149" i="137" s="1"/>
  <c r="E148" i="137"/>
  <c r="I148" i="137" s="1"/>
  <c r="L148" i="137" s="1"/>
  <c r="E209" i="137"/>
  <c r="G209" i="137" s="1"/>
  <c r="L209" i="137" s="1"/>
  <c r="E205" i="137"/>
  <c r="I205" i="137" s="1"/>
  <c r="L205" i="137" s="1"/>
  <c r="E208" i="137"/>
  <c r="G208" i="137" s="1"/>
  <c r="L208" i="137" s="1"/>
  <c r="E206" i="137"/>
  <c r="K206" i="137" s="1"/>
  <c r="L206" i="137" s="1"/>
  <c r="E207" i="137"/>
  <c r="G207" i="137" s="1"/>
  <c r="L207" i="137" s="1"/>
  <c r="E150" i="137"/>
  <c r="G150" i="137" s="1"/>
  <c r="L150" i="137" s="1"/>
  <c r="E151" i="137"/>
  <c r="G151" i="137" s="1"/>
  <c r="L151" i="137" s="1"/>
  <c r="E152" i="137"/>
  <c r="G152" i="137" s="1"/>
  <c r="L152" i="137" s="1"/>
  <c r="E136" i="137"/>
  <c r="K136" i="137" s="1"/>
  <c r="L136" i="137" s="1"/>
  <c r="E138" i="137"/>
  <c r="G138" i="137" s="1"/>
  <c r="L138" i="137" s="1"/>
  <c r="E139" i="137"/>
  <c r="G139" i="137" s="1"/>
  <c r="L139" i="137" s="1"/>
  <c r="E141" i="137"/>
  <c r="I141" i="137" s="1"/>
  <c r="L141" i="137" s="1"/>
  <c r="E146" i="137"/>
  <c r="G146" i="137" s="1"/>
  <c r="L146" i="137" s="1"/>
  <c r="E142" i="137"/>
  <c r="K142" i="137" s="1"/>
  <c r="L142" i="137" s="1"/>
  <c r="E292" i="137" l="1"/>
  <c r="G292" i="137" s="1"/>
  <c r="L292" i="137" s="1"/>
  <c r="E288" i="137"/>
  <c r="E283" i="137"/>
  <c r="E286" i="137" s="1"/>
  <c r="G286" i="137" s="1"/>
  <c r="L286" i="137" s="1"/>
  <c r="E282" i="137"/>
  <c r="G282" i="137" s="1"/>
  <c r="L282" i="137" s="1"/>
  <c r="E281" i="137"/>
  <c r="G281" i="137" s="1"/>
  <c r="L281" i="137" s="1"/>
  <c r="D280" i="137"/>
  <c r="E280" i="137" s="1"/>
  <c r="K280" i="137" s="1"/>
  <c r="L280" i="137" s="1"/>
  <c r="D279" i="137"/>
  <c r="E279" i="137" s="1"/>
  <c r="I279" i="137" s="1"/>
  <c r="L279" i="137" s="1"/>
  <c r="E277" i="137"/>
  <c r="G277" i="137" s="1"/>
  <c r="L277" i="137" s="1"/>
  <c r="E276" i="137"/>
  <c r="G276" i="137" s="1"/>
  <c r="L276" i="137" s="1"/>
  <c r="E275" i="137"/>
  <c r="G275" i="137" s="1"/>
  <c r="L275" i="137" s="1"/>
  <c r="E274" i="137"/>
  <c r="K274" i="137" s="1"/>
  <c r="L274" i="137" s="1"/>
  <c r="E273" i="137"/>
  <c r="I273" i="137" s="1"/>
  <c r="L273" i="137" s="1"/>
  <c r="E271" i="137"/>
  <c r="G271" i="137" s="1"/>
  <c r="L271" i="137" s="1"/>
  <c r="E270" i="137"/>
  <c r="G270" i="137" s="1"/>
  <c r="L270" i="137" s="1"/>
  <c r="E269" i="137"/>
  <c r="G269" i="137" s="1"/>
  <c r="L269" i="137" s="1"/>
  <c r="E268" i="137"/>
  <c r="G268" i="137" s="1"/>
  <c r="L268" i="137" s="1"/>
  <c r="E267" i="137"/>
  <c r="G267" i="137" s="1"/>
  <c r="L267" i="137" s="1"/>
  <c r="E266" i="137"/>
  <c r="G266" i="137" s="1"/>
  <c r="L266" i="137" s="1"/>
  <c r="E265" i="137"/>
  <c r="G265" i="137" s="1"/>
  <c r="L265" i="137" s="1"/>
  <c r="D264" i="137"/>
  <c r="E264" i="137" s="1"/>
  <c r="G264" i="137" s="1"/>
  <c r="L264" i="137" s="1"/>
  <c r="E263" i="137"/>
  <c r="K263" i="137" s="1"/>
  <c r="L263" i="137" s="1"/>
  <c r="E262" i="137"/>
  <c r="K262" i="137" s="1"/>
  <c r="L262" i="137" s="1"/>
  <c r="E261" i="137"/>
  <c r="I261" i="137" s="1"/>
  <c r="L261" i="137" s="1"/>
  <c r="E255" i="137"/>
  <c r="E258" i="137" s="1"/>
  <c r="G258" i="137" s="1"/>
  <c r="L258" i="137" s="1"/>
  <c r="E247" i="137"/>
  <c r="E250" i="137" s="1"/>
  <c r="K250" i="137" s="1"/>
  <c r="L250" i="137" s="1"/>
  <c r="E246" i="137"/>
  <c r="G246" i="137" s="1"/>
  <c r="L246" i="137" s="1"/>
  <c r="E245" i="137"/>
  <c r="G245" i="137" s="1"/>
  <c r="L245" i="137" s="1"/>
  <c r="E244" i="137"/>
  <c r="K244" i="137" s="1"/>
  <c r="L244" i="137" s="1"/>
  <c r="E243" i="137"/>
  <c r="K243" i="137" s="1"/>
  <c r="L243" i="137" s="1"/>
  <c r="E242" i="137"/>
  <c r="K242" i="137" s="1"/>
  <c r="L242" i="137" s="1"/>
  <c r="E241" i="137"/>
  <c r="K241" i="137" s="1"/>
  <c r="L241" i="137" s="1"/>
  <c r="E240" i="137"/>
  <c r="I240" i="137" s="1"/>
  <c r="L240" i="137" s="1"/>
  <c r="E238" i="137"/>
  <c r="G238" i="137" s="1"/>
  <c r="L238" i="137" s="1"/>
  <c r="E237" i="137"/>
  <c r="K237" i="137" s="1"/>
  <c r="L237" i="137" s="1"/>
  <c r="E235" i="137"/>
  <c r="G235" i="137" s="1"/>
  <c r="L235" i="137" s="1"/>
  <c r="E234" i="137"/>
  <c r="G234" i="137" s="1"/>
  <c r="L234" i="137" s="1"/>
  <c r="E233" i="137"/>
  <c r="K233" i="137" s="1"/>
  <c r="L233" i="137" s="1"/>
  <c r="E232" i="137"/>
  <c r="K232" i="137" s="1"/>
  <c r="L232" i="137" s="1"/>
  <c r="E231" i="137"/>
  <c r="K231" i="137" s="1"/>
  <c r="L231" i="137" s="1"/>
  <c r="E230" i="137"/>
  <c r="K230" i="137" s="1"/>
  <c r="L230" i="137" s="1"/>
  <c r="E229" i="137"/>
  <c r="K229" i="137" s="1"/>
  <c r="L229" i="137" s="1"/>
  <c r="E228" i="137"/>
  <c r="I228" i="137" s="1"/>
  <c r="L228" i="137" s="1"/>
  <c r="E217" i="137"/>
  <c r="G217" i="137" s="1"/>
  <c r="L217" i="137" s="1"/>
  <c r="E216" i="137"/>
  <c r="G216" i="137" s="1"/>
  <c r="L216" i="137" s="1"/>
  <c r="E215" i="137"/>
  <c r="G215" i="137" s="1"/>
  <c r="L215" i="137" s="1"/>
  <c r="E214" i="137"/>
  <c r="G214" i="137" s="1"/>
  <c r="L214" i="137" s="1"/>
  <c r="E213" i="137"/>
  <c r="K213" i="137" s="1"/>
  <c r="L213" i="137" s="1"/>
  <c r="E212" i="137"/>
  <c r="I212" i="137" s="1"/>
  <c r="L212" i="137" s="1"/>
  <c r="E198" i="137"/>
  <c r="G198" i="137" s="1"/>
  <c r="L198" i="137" s="1"/>
  <c r="E197" i="137"/>
  <c r="G197" i="137" s="1"/>
  <c r="L197" i="137" s="1"/>
  <c r="E196" i="137"/>
  <c r="K196" i="137" s="1"/>
  <c r="L196" i="137" s="1"/>
  <c r="E195" i="137"/>
  <c r="I195" i="137" s="1"/>
  <c r="L195" i="137" s="1"/>
  <c r="D191" i="137"/>
  <c r="E192" i="137"/>
  <c r="G192" i="137" s="1"/>
  <c r="L192" i="137" s="1"/>
  <c r="E187" i="137"/>
  <c r="G187" i="137" s="1"/>
  <c r="L187" i="137" s="1"/>
  <c r="G184" i="137"/>
  <c r="L184" i="137" s="1"/>
  <c r="E183" i="137"/>
  <c r="K183" i="137" s="1"/>
  <c r="L183" i="137" s="1"/>
  <c r="E182" i="137"/>
  <c r="I182" i="137" s="1"/>
  <c r="L182" i="137" s="1"/>
  <c r="E180" i="137"/>
  <c r="G180" i="137" s="1"/>
  <c r="L180" i="137" s="1"/>
  <c r="E179" i="137"/>
  <c r="G179" i="137" s="1"/>
  <c r="L179" i="137" s="1"/>
  <c r="E178" i="137"/>
  <c r="G178" i="137" s="1"/>
  <c r="L178" i="137" s="1"/>
  <c r="E175" i="137"/>
  <c r="G175" i="137" s="1"/>
  <c r="L175" i="137" s="1"/>
  <c r="E174" i="137"/>
  <c r="K174" i="137" s="1"/>
  <c r="L174" i="137" s="1"/>
  <c r="E173" i="137"/>
  <c r="I173" i="137" s="1"/>
  <c r="L173" i="137" s="1"/>
  <c r="E164" i="137"/>
  <c r="G164" i="137" s="1"/>
  <c r="L164" i="137" s="1"/>
  <c r="E163" i="137"/>
  <c r="G163" i="137" s="1"/>
  <c r="L163" i="137" s="1"/>
  <c r="E162" i="137"/>
  <c r="G162" i="137" s="1"/>
  <c r="L162" i="137" s="1"/>
  <c r="E161" i="137"/>
  <c r="G161" i="137" s="1"/>
  <c r="L161" i="137" s="1"/>
  <c r="E160" i="137"/>
  <c r="K160" i="137" s="1"/>
  <c r="L160" i="137" s="1"/>
  <c r="E159" i="137"/>
  <c r="I159" i="137" s="1"/>
  <c r="L159" i="137" s="1"/>
  <c r="E157" i="137"/>
  <c r="G157" i="137" s="1"/>
  <c r="L157" i="137" s="1"/>
  <c r="D156" i="137"/>
  <c r="E156" i="137" s="1"/>
  <c r="G156" i="137" s="1"/>
  <c r="L156" i="137" s="1"/>
  <c r="D155" i="137"/>
  <c r="E155" i="137" s="1"/>
  <c r="K155" i="137" s="1"/>
  <c r="L155" i="137" s="1"/>
  <c r="E154" i="137"/>
  <c r="I154" i="137" s="1"/>
  <c r="L154" i="137" s="1"/>
  <c r="E133" i="137"/>
  <c r="G133" i="137" s="1"/>
  <c r="L133" i="137" s="1"/>
  <c r="E132" i="137"/>
  <c r="G132" i="137" s="1"/>
  <c r="L132" i="137" s="1"/>
  <c r="G131" i="137"/>
  <c r="L131" i="137" s="1"/>
  <c r="E130" i="137"/>
  <c r="G130" i="137" s="1"/>
  <c r="L130" i="137" s="1"/>
  <c r="G129" i="137"/>
  <c r="L129" i="137" s="1"/>
  <c r="E128" i="137"/>
  <c r="G128" i="137" s="1"/>
  <c r="L128" i="137" s="1"/>
  <c r="E127" i="137"/>
  <c r="K127" i="137" s="1"/>
  <c r="L127" i="137" s="1"/>
  <c r="E126" i="137"/>
  <c r="I126" i="137" s="1"/>
  <c r="L126" i="137" s="1"/>
  <c r="E124" i="137"/>
  <c r="G124" i="137" s="1"/>
  <c r="L124" i="137" s="1"/>
  <c r="E123" i="137"/>
  <c r="G123" i="137" s="1"/>
  <c r="L123" i="137" s="1"/>
  <c r="E122" i="137"/>
  <c r="K122" i="137" s="1"/>
  <c r="L122" i="137" s="1"/>
  <c r="E121" i="137"/>
  <c r="I121" i="137" s="1"/>
  <c r="L121" i="137" s="1"/>
  <c r="E119" i="137"/>
  <c r="G119" i="137" s="1"/>
  <c r="L119" i="137" s="1"/>
  <c r="E118" i="137"/>
  <c r="E117" i="137"/>
  <c r="K117" i="137" s="1"/>
  <c r="L117" i="137" s="1"/>
  <c r="E116" i="137"/>
  <c r="K116" i="137" s="1"/>
  <c r="L116" i="137" s="1"/>
  <c r="E115" i="137"/>
  <c r="I115" i="137" s="1"/>
  <c r="L115" i="137" s="1"/>
  <c r="D111" i="137"/>
  <c r="E111" i="137" s="1"/>
  <c r="G111" i="137" s="1"/>
  <c r="L111" i="137" s="1"/>
  <c r="D110" i="137"/>
  <c r="E110" i="137" s="1"/>
  <c r="G110" i="137" s="1"/>
  <c r="L110" i="137" s="1"/>
  <c r="D109" i="137"/>
  <c r="E109" i="137" s="1"/>
  <c r="G109" i="137" s="1"/>
  <c r="L109" i="137" s="1"/>
  <c r="E108" i="137"/>
  <c r="K108" i="137" s="1"/>
  <c r="L108" i="137" s="1"/>
  <c r="E107" i="137"/>
  <c r="I107" i="137" s="1"/>
  <c r="L107" i="137" s="1"/>
  <c r="G103" i="137"/>
  <c r="L103" i="137" s="1"/>
  <c r="E102" i="137"/>
  <c r="K102" i="137" s="1"/>
  <c r="L102" i="137" s="1"/>
  <c r="E101" i="137"/>
  <c r="I101" i="137" s="1"/>
  <c r="L101" i="137" s="1"/>
  <c r="E93" i="137"/>
  <c r="G93" i="137" s="1"/>
  <c r="L93" i="137" s="1"/>
  <c r="E92" i="137"/>
  <c r="G92" i="137" s="1"/>
  <c r="L92" i="137" s="1"/>
  <c r="E91" i="137"/>
  <c r="G91" i="137" s="1"/>
  <c r="L91" i="137" s="1"/>
  <c r="E89" i="137"/>
  <c r="G89" i="137" s="1"/>
  <c r="L89" i="137" s="1"/>
  <c r="E88" i="137"/>
  <c r="K88" i="137" s="1"/>
  <c r="L88" i="137" s="1"/>
  <c r="E87" i="137"/>
  <c r="I87" i="137" s="1"/>
  <c r="L87" i="137" s="1"/>
  <c r="G85" i="137"/>
  <c r="L85" i="137" s="1"/>
  <c r="K84" i="137"/>
  <c r="L84" i="137" s="1"/>
  <c r="E83" i="137"/>
  <c r="I83" i="137" s="1"/>
  <c r="L83" i="137" s="1"/>
  <c r="E81" i="137"/>
  <c r="G81" i="137" s="1"/>
  <c r="L81" i="137" s="1"/>
  <c r="E80" i="137"/>
  <c r="G80" i="137" s="1"/>
  <c r="L80" i="137" s="1"/>
  <c r="D79" i="137"/>
  <c r="E79" i="137" s="1"/>
  <c r="G79" i="137" s="1"/>
  <c r="L79" i="137" s="1"/>
  <c r="E78" i="137"/>
  <c r="K78" i="137" s="1"/>
  <c r="L78" i="137" s="1"/>
  <c r="E77" i="137"/>
  <c r="I77" i="137" s="1"/>
  <c r="L77" i="137" s="1"/>
  <c r="E74" i="137"/>
  <c r="G74" i="137" s="1"/>
  <c r="L74" i="137" s="1"/>
  <c r="G73" i="137"/>
  <c r="L73" i="137" s="1"/>
  <c r="G72" i="137"/>
  <c r="L72" i="137" s="1"/>
  <c r="G71" i="137"/>
  <c r="L71" i="137" s="1"/>
  <c r="G70" i="137"/>
  <c r="L70" i="137" s="1"/>
  <c r="G69" i="137"/>
  <c r="L69" i="137" s="1"/>
  <c r="G68" i="137"/>
  <c r="L68" i="137" s="1"/>
  <c r="E67" i="137"/>
  <c r="I67" i="137" s="1"/>
  <c r="L67" i="137" s="1"/>
  <c r="E47" i="137"/>
  <c r="E42" i="137"/>
  <c r="K41" i="137"/>
  <c r="L41" i="137" s="1"/>
  <c r="K40" i="137"/>
  <c r="L40" i="137" s="1"/>
  <c r="I39" i="137"/>
  <c r="L39" i="137" s="1"/>
  <c r="E32" i="137"/>
  <c r="I32" i="137" s="1"/>
  <c r="L32" i="137" s="1"/>
  <c r="E29" i="137"/>
  <c r="I29" i="137" s="1"/>
  <c r="L29" i="137" s="1"/>
  <c r="E27" i="137"/>
  <c r="K27" i="137" s="1"/>
  <c r="L27" i="137" s="1"/>
  <c r="E26" i="137"/>
  <c r="K26" i="137" s="1"/>
  <c r="L26" i="137" s="1"/>
  <c r="E25" i="137"/>
  <c r="I25" i="137" s="1"/>
  <c r="L25" i="137" s="1"/>
  <c r="E23" i="137"/>
  <c r="K23" i="137" s="1"/>
  <c r="L23" i="137" s="1"/>
  <c r="E22" i="137"/>
  <c r="I22" i="137" s="1"/>
  <c r="L22" i="137" s="1"/>
  <c r="D20" i="137"/>
  <c r="E20" i="137" s="1"/>
  <c r="K20" i="137" s="1"/>
  <c r="L20" i="137" s="1"/>
  <c r="D19" i="137"/>
  <c r="E19" i="137" s="1"/>
  <c r="I19" i="137" s="1"/>
  <c r="L19" i="137" s="1"/>
  <c r="K17" i="137"/>
  <c r="L17" i="137" s="1"/>
  <c r="E16" i="137"/>
  <c r="I16" i="137" s="1"/>
  <c r="L16" i="137" s="1"/>
  <c r="E14" i="137"/>
  <c r="K14" i="137" s="1"/>
  <c r="L14" i="137" s="1"/>
  <c r="E13" i="137"/>
  <c r="I13" i="137" s="1"/>
  <c r="L13" i="137" s="1"/>
  <c r="D11" i="137"/>
  <c r="E11" i="137" s="1"/>
  <c r="K11" i="137" s="1"/>
  <c r="D10" i="137"/>
  <c r="E10" i="137" s="1"/>
  <c r="I10" i="137" s="1"/>
  <c r="L10" i="137" s="1"/>
  <c r="E50" i="137" l="1"/>
  <c r="K50" i="137" s="1"/>
  <c r="L50" i="137" s="1"/>
  <c r="E44" i="137"/>
  <c r="K44" i="137" s="1"/>
  <c r="L44" i="137" s="1"/>
  <c r="E43" i="137"/>
  <c r="I43" i="137" s="1"/>
  <c r="L43" i="137" s="1"/>
  <c r="E45" i="137"/>
  <c r="K45" i="137" s="1"/>
  <c r="L45" i="137" s="1"/>
  <c r="E252" i="137"/>
  <c r="K252" i="137" s="1"/>
  <c r="L252" i="137" s="1"/>
  <c r="E190" i="137"/>
  <c r="K190" i="137" s="1"/>
  <c r="L190" i="137" s="1"/>
  <c r="G118" i="137"/>
  <c r="L118" i="137" s="1"/>
  <c r="E249" i="137"/>
  <c r="K249" i="137" s="1"/>
  <c r="L249" i="137" s="1"/>
  <c r="E193" i="137"/>
  <c r="G193" i="137" s="1"/>
  <c r="L193" i="137" s="1"/>
  <c r="E248" i="137"/>
  <c r="I248" i="137" s="1"/>
  <c r="L248" i="137" s="1"/>
  <c r="E46" i="137"/>
  <c r="K46" i="137" s="1"/>
  <c r="L46" i="137" s="1"/>
  <c r="E191" i="137"/>
  <c r="G191" i="137" s="1"/>
  <c r="L191" i="137" s="1"/>
  <c r="E285" i="137"/>
  <c r="K285" i="137" s="1"/>
  <c r="L285" i="137" s="1"/>
  <c r="L11" i="137"/>
  <c r="E295" i="137"/>
  <c r="G295" i="137" s="1"/>
  <c r="L295" i="137" s="1"/>
  <c r="E293" i="137"/>
  <c r="G293" i="137" s="1"/>
  <c r="L293" i="137" s="1"/>
  <c r="E290" i="137"/>
  <c r="K290" i="137" s="1"/>
  <c r="L290" i="137" s="1"/>
  <c r="E48" i="137"/>
  <c r="I48" i="137" s="1"/>
  <c r="L48" i="137" s="1"/>
  <c r="E289" i="137"/>
  <c r="I289" i="137" s="1"/>
  <c r="L289" i="137" s="1"/>
  <c r="G105" i="137"/>
  <c r="L105" i="137" s="1"/>
  <c r="E256" i="137"/>
  <c r="I256" i="137" s="1"/>
  <c r="L256" i="137" s="1"/>
  <c r="E49" i="137"/>
  <c r="K49" i="137" s="1"/>
  <c r="L49" i="137" s="1"/>
  <c r="E257" i="137"/>
  <c r="K257" i="137" s="1"/>
  <c r="L257" i="137" s="1"/>
  <c r="E259" i="137"/>
  <c r="G259" i="137" s="1"/>
  <c r="L259" i="137" s="1"/>
  <c r="E291" i="137"/>
  <c r="G291" i="137" s="1"/>
  <c r="L291" i="137" s="1"/>
  <c r="E294" i="137"/>
  <c r="G294" i="137" s="1"/>
  <c r="L294" i="137" s="1"/>
  <c r="E287" i="137"/>
  <c r="G287" i="137" s="1"/>
  <c r="L287" i="137" s="1"/>
  <c r="E251" i="137"/>
  <c r="K251" i="137" s="1"/>
  <c r="L251" i="137" s="1"/>
  <c r="E253" i="137"/>
  <c r="G253" i="137" s="1"/>
  <c r="L253" i="137" s="1"/>
  <c r="E254" i="137"/>
  <c r="G254" i="137" s="1"/>
  <c r="L254" i="137" s="1"/>
  <c r="E284" i="137"/>
  <c r="I284" i="137" s="1"/>
  <c r="L284" i="137" s="1"/>
  <c r="L297" i="137" l="1"/>
  <c r="I297" i="137"/>
  <c r="G297" i="137"/>
  <c r="L298" i="137" s="1"/>
  <c r="K297" i="137"/>
  <c r="L299" i="137" l="1"/>
  <c r="L300" i="137" s="1"/>
  <c r="L301" i="137" s="1"/>
  <c r="L302" i="137" s="1"/>
  <c r="L303" i="137" s="1"/>
  <c r="D16" i="29" s="1"/>
  <c r="E72" i="115"/>
  <c r="E75" i="115" s="1"/>
  <c r="G75" i="115" s="1"/>
  <c r="L75" i="115" s="1"/>
  <c r="E70" i="115"/>
  <c r="E69" i="115"/>
  <c r="K69" i="115" s="1"/>
  <c r="L69" i="115" s="1"/>
  <c r="E68" i="115"/>
  <c r="K68" i="115" s="1"/>
  <c r="L68" i="115" s="1"/>
  <c r="E67" i="115"/>
  <c r="I67" i="115" s="1"/>
  <c r="L67" i="115" s="1"/>
  <c r="E36" i="38"/>
  <c r="G36" i="38" s="1"/>
  <c r="L36" i="38" s="1"/>
  <c r="E32" i="38"/>
  <c r="I32" i="38" s="1"/>
  <c r="L32" i="38" s="1"/>
  <c r="E33" i="38"/>
  <c r="K33" i="38" s="1"/>
  <c r="L33" i="38" s="1"/>
  <c r="G27" i="38"/>
  <c r="L27" i="38" s="1"/>
  <c r="L26" i="38"/>
  <c r="E25" i="38"/>
  <c r="G25" i="38" s="1"/>
  <c r="L25" i="38" s="1"/>
  <c r="E23" i="38"/>
  <c r="E53" i="38"/>
  <c r="G53" i="38" s="1"/>
  <c r="L53" i="38" s="1"/>
  <c r="G52" i="38"/>
  <c r="L52" i="38" s="1"/>
  <c r="G51" i="38"/>
  <c r="L51" i="38" s="1"/>
  <c r="G50" i="38"/>
  <c r="L50" i="38" s="1"/>
  <c r="E49" i="38"/>
  <c r="E48" i="38"/>
  <c r="K48" i="38" s="1"/>
  <c r="L48" i="38" s="1"/>
  <c r="E47" i="38"/>
  <c r="I47" i="38" s="1"/>
  <c r="L47" i="38" s="1"/>
  <c r="E19" i="38"/>
  <c r="G19" i="38" s="1"/>
  <c r="L19" i="38" s="1"/>
  <c r="E18" i="38"/>
  <c r="I18" i="38" s="1"/>
  <c r="L18" i="38" s="1"/>
  <c r="H16" i="29" l="1"/>
  <c r="E73" i="115"/>
  <c r="I73" i="115" s="1"/>
  <c r="L73" i="115" s="1"/>
  <c r="E74" i="115"/>
  <c r="K74" i="115" s="1"/>
  <c r="L74" i="115" s="1"/>
  <c r="G70" i="115"/>
  <c r="L70" i="115" s="1"/>
  <c r="E35" i="38"/>
  <c r="G35" i="38" s="1"/>
  <c r="L35" i="38" s="1"/>
  <c r="G49" i="38"/>
  <c r="L49" i="38" s="1"/>
  <c r="E14" i="38"/>
  <c r="E15" i="38" s="1"/>
  <c r="I15" i="38" s="1"/>
  <c r="L15" i="38" s="1"/>
  <c r="E11" i="38"/>
  <c r="I11" i="38" s="1"/>
  <c r="L11" i="38" s="1"/>
  <c r="E197" i="33" l="1"/>
  <c r="G197" i="33" s="1"/>
  <c r="L197" i="33" s="1"/>
  <c r="E196" i="33"/>
  <c r="G196" i="33" s="1"/>
  <c r="L196" i="33" s="1"/>
  <c r="E195" i="33"/>
  <c r="E190" i="33"/>
  <c r="G190" i="33" s="1"/>
  <c r="L190" i="33" s="1"/>
  <c r="E189" i="33"/>
  <c r="G189" i="33" s="1"/>
  <c r="L189" i="33" s="1"/>
  <c r="E188" i="33"/>
  <c r="E187" i="33"/>
  <c r="G187" i="33" s="1"/>
  <c r="L187" i="33" s="1"/>
  <c r="E62" i="33"/>
  <c r="G188" i="33" l="1"/>
  <c r="L188" i="33" s="1"/>
  <c r="G195" i="33"/>
  <c r="L195" i="33" s="1"/>
  <c r="E87" i="33"/>
  <c r="E238" i="33"/>
  <c r="G238" i="33" s="1"/>
  <c r="L238" i="33" s="1"/>
  <c r="E237" i="33"/>
  <c r="G237" i="33" s="1"/>
  <c r="L237" i="33" s="1"/>
  <c r="E236" i="33"/>
  <c r="G236" i="33" s="1"/>
  <c r="L236" i="33" s="1"/>
  <c r="E235" i="33"/>
  <c r="G235" i="33" s="1"/>
  <c r="L235" i="33" s="1"/>
  <c r="E234" i="33"/>
  <c r="K234" i="33" s="1"/>
  <c r="L234" i="33" s="1"/>
  <c r="E233" i="33"/>
  <c r="I233" i="33" s="1"/>
  <c r="L233" i="33" s="1"/>
  <c r="E231" i="33"/>
  <c r="G231" i="33" s="1"/>
  <c r="L231" i="33" s="1"/>
  <c r="D230" i="33"/>
  <c r="E230" i="33" s="1"/>
  <c r="G230" i="33" s="1"/>
  <c r="L230" i="33" s="1"/>
  <c r="D229" i="33"/>
  <c r="E229" i="33" s="1"/>
  <c r="K229" i="33" s="1"/>
  <c r="L229" i="33" s="1"/>
  <c r="E228" i="33"/>
  <c r="I228" i="33" s="1"/>
  <c r="L228" i="33" s="1"/>
  <c r="E213" i="33"/>
  <c r="G213" i="33" s="1"/>
  <c r="L213" i="33" s="1"/>
  <c r="E212" i="33"/>
  <c r="K212" i="33" s="1"/>
  <c r="L212" i="33" s="1"/>
  <c r="E211" i="33"/>
  <c r="I211" i="33" s="1"/>
  <c r="L211" i="33" s="1"/>
  <c r="E39" i="33"/>
  <c r="K39" i="33" s="1"/>
  <c r="L39" i="33" s="1"/>
  <c r="E38" i="33"/>
  <c r="I38" i="33" s="1"/>
  <c r="L38" i="33" s="1"/>
  <c r="E33" i="33"/>
  <c r="K33" i="33" s="1"/>
  <c r="L33" i="33" s="1"/>
  <c r="E32" i="33"/>
  <c r="I32" i="33" s="1"/>
  <c r="L32" i="33" s="1"/>
  <c r="E75" i="33"/>
  <c r="G75" i="33" s="1"/>
  <c r="L75" i="33" s="1"/>
  <c r="E74" i="33"/>
  <c r="G74" i="33" s="1"/>
  <c r="L74" i="33" s="1"/>
  <c r="E72" i="33"/>
  <c r="G72" i="33" s="1"/>
  <c r="L72" i="33" s="1"/>
  <c r="E71" i="33"/>
  <c r="K71" i="33" s="1"/>
  <c r="L71" i="33" s="1"/>
  <c r="E70" i="33"/>
  <c r="I70" i="33" s="1"/>
  <c r="L70" i="33" s="1"/>
  <c r="E124" i="33" l="1"/>
  <c r="G124" i="33" s="1"/>
  <c r="L124" i="33" s="1"/>
  <c r="D122" i="33"/>
  <c r="E30" i="33"/>
  <c r="K30" i="33" s="1"/>
  <c r="L30" i="33" s="1"/>
  <c r="E29" i="33"/>
  <c r="I29" i="33" s="1"/>
  <c r="L29" i="33" s="1"/>
  <c r="E27" i="33"/>
  <c r="K27" i="33" s="1"/>
  <c r="L27" i="33" s="1"/>
  <c r="E26" i="33"/>
  <c r="I26" i="33" s="1"/>
  <c r="L26" i="33" s="1"/>
  <c r="D12" i="33"/>
  <c r="D10" i="33"/>
  <c r="E121" i="33" l="1"/>
  <c r="K121" i="33" s="1"/>
  <c r="L121" i="33" s="1"/>
  <c r="E122" i="33"/>
  <c r="G122" i="33" s="1"/>
  <c r="L122" i="33" s="1"/>
  <c r="E123" i="33"/>
  <c r="G123" i="33" s="1"/>
  <c r="L123" i="33" s="1"/>
  <c r="E10" i="33"/>
  <c r="I10" i="33" s="1"/>
  <c r="L10" i="33" s="1"/>
  <c r="E15" i="33"/>
  <c r="K15" i="33" s="1"/>
  <c r="L15" i="33" s="1"/>
  <c r="E14" i="33"/>
  <c r="I14" i="33" s="1"/>
  <c r="L14" i="33" s="1"/>
  <c r="E17" i="33"/>
  <c r="I17" i="33" s="1"/>
  <c r="L17" i="33" s="1"/>
  <c r="E208" i="33" l="1"/>
  <c r="G208" i="33" s="1"/>
  <c r="L208" i="33" s="1"/>
  <c r="E194" i="33"/>
  <c r="G194" i="33" s="1"/>
  <c r="L194" i="33" s="1"/>
  <c r="G24" i="38" l="1"/>
  <c r="L24" i="38" s="1"/>
  <c r="G23" i="38"/>
  <c r="E22" i="38"/>
  <c r="K22" i="38" s="1"/>
  <c r="E21" i="38"/>
  <c r="G65" i="33"/>
  <c r="L65" i="33" s="1"/>
  <c r="G64" i="33"/>
  <c r="L64" i="33" s="1"/>
  <c r="L22" i="38" l="1"/>
  <c r="L23" i="38"/>
  <c r="I21" i="38"/>
  <c r="E30" i="38"/>
  <c r="G30" i="38" s="1"/>
  <c r="L30" i="38" s="1"/>
  <c r="L21" i="38" l="1"/>
  <c r="E214" i="33" l="1"/>
  <c r="E220" i="33" s="1"/>
  <c r="G220" i="33" s="1"/>
  <c r="L220" i="33" s="1"/>
  <c r="E68" i="33"/>
  <c r="G68" i="33" s="1"/>
  <c r="L68" i="33" s="1"/>
  <c r="E130" i="33"/>
  <c r="E135" i="33" s="1"/>
  <c r="G135" i="33" s="1"/>
  <c r="L135" i="33" s="1"/>
  <c r="E205" i="33"/>
  <c r="I205" i="33" s="1"/>
  <c r="L205" i="33" s="1"/>
  <c r="E206" i="33"/>
  <c r="E209" i="33"/>
  <c r="G209" i="33" s="1"/>
  <c r="L209" i="33" s="1"/>
  <c r="D207" i="33"/>
  <c r="E207" i="33" s="1"/>
  <c r="E40" i="33"/>
  <c r="E193" i="33"/>
  <c r="G193" i="33" s="1"/>
  <c r="L193" i="33" s="1"/>
  <c r="E192" i="33"/>
  <c r="I192" i="33" s="1"/>
  <c r="L192" i="33" s="1"/>
  <c r="E183" i="33"/>
  <c r="G183" i="33" s="1"/>
  <c r="L183" i="33" s="1"/>
  <c r="E182" i="33"/>
  <c r="G182" i="33" s="1"/>
  <c r="L182" i="33" s="1"/>
  <c r="E181" i="33"/>
  <c r="G181" i="33" s="1"/>
  <c r="L181" i="33" s="1"/>
  <c r="E178" i="33"/>
  <c r="K178" i="33" s="1"/>
  <c r="L178" i="33" s="1"/>
  <c r="E177" i="33"/>
  <c r="E175" i="33"/>
  <c r="G175" i="33" s="1"/>
  <c r="L175" i="33" s="1"/>
  <c r="D174" i="33"/>
  <c r="E174" i="33" s="1"/>
  <c r="G174" i="33" s="1"/>
  <c r="L174" i="33" s="1"/>
  <c r="D173" i="33"/>
  <c r="E173" i="33" s="1"/>
  <c r="K173" i="33" s="1"/>
  <c r="L173" i="33" s="1"/>
  <c r="E172" i="33"/>
  <c r="I172" i="33" s="1"/>
  <c r="L172" i="33" s="1"/>
  <c r="E166" i="33"/>
  <c r="G166" i="33" s="1"/>
  <c r="L166" i="33" s="1"/>
  <c r="E165" i="33"/>
  <c r="G165" i="33" s="1"/>
  <c r="L165" i="33" s="1"/>
  <c r="E164" i="33"/>
  <c r="K164" i="33" s="1"/>
  <c r="L164" i="33" s="1"/>
  <c r="E163" i="33"/>
  <c r="I163" i="33" s="1"/>
  <c r="L163" i="33" s="1"/>
  <c r="I177" i="33" l="1"/>
  <c r="L177" i="33" s="1"/>
  <c r="G180" i="33"/>
  <c r="L180" i="33" s="1"/>
  <c r="K206" i="33"/>
  <c r="L206" i="33" s="1"/>
  <c r="E73" i="33"/>
  <c r="G73" i="33" s="1"/>
  <c r="L73" i="33" s="1"/>
  <c r="E42" i="33"/>
  <c r="K42" i="33" s="1"/>
  <c r="L42" i="33" s="1"/>
  <c r="E41" i="33"/>
  <c r="I41" i="33" s="1"/>
  <c r="L41" i="33" s="1"/>
  <c r="G179" i="33"/>
  <c r="L179" i="33" s="1"/>
  <c r="E215" i="33"/>
  <c r="I215" i="33" s="1"/>
  <c r="L215" i="33" s="1"/>
  <c r="E219" i="33"/>
  <c r="G219" i="33" s="1"/>
  <c r="L219" i="33" s="1"/>
  <c r="E216" i="33"/>
  <c r="K216" i="33" s="1"/>
  <c r="L216" i="33" s="1"/>
  <c r="E218" i="33"/>
  <c r="G218" i="33" s="1"/>
  <c r="L218" i="33" s="1"/>
  <c r="E217" i="33"/>
  <c r="G217" i="33" s="1"/>
  <c r="L217" i="33" s="1"/>
  <c r="E61" i="33"/>
  <c r="K61" i="33" s="1"/>
  <c r="L61" i="33" s="1"/>
  <c r="G62" i="33"/>
  <c r="E132" i="33"/>
  <c r="K132" i="33" s="1"/>
  <c r="L132" i="33" s="1"/>
  <c r="E66" i="33"/>
  <c r="G66" i="33" s="1"/>
  <c r="L66" i="33" s="1"/>
  <c r="E60" i="33"/>
  <c r="I60" i="33" s="1"/>
  <c r="L60" i="33" s="1"/>
  <c r="E67" i="33"/>
  <c r="G67" i="33" s="1"/>
  <c r="L67" i="33" s="1"/>
  <c r="E63" i="33"/>
  <c r="G63" i="33" s="1"/>
  <c r="L63" i="33" s="1"/>
  <c r="E133" i="33"/>
  <c r="G133" i="33" s="1"/>
  <c r="L133" i="33" s="1"/>
  <c r="E131" i="33"/>
  <c r="I131" i="33" s="1"/>
  <c r="L131" i="33" s="1"/>
  <c r="E134" i="33"/>
  <c r="G134" i="33" s="1"/>
  <c r="L134" i="33" s="1"/>
  <c r="G207" i="33"/>
  <c r="L207" i="33" s="1"/>
  <c r="L62" i="33" l="1"/>
  <c r="E186" i="33"/>
  <c r="G186" i="33" s="1"/>
  <c r="L186" i="33" s="1"/>
  <c r="E185" i="33"/>
  <c r="I185" i="33" s="1"/>
  <c r="L185" i="33" s="1"/>
  <c r="E144" i="33"/>
  <c r="E125" i="33"/>
  <c r="I126" i="33" s="1"/>
  <c r="L126" i="33" s="1"/>
  <c r="E143" i="33"/>
  <c r="G143" i="33" s="1"/>
  <c r="L143" i="33" s="1"/>
  <c r="E142" i="33"/>
  <c r="G142" i="33" s="1"/>
  <c r="L142" i="33" s="1"/>
  <c r="E141" i="33"/>
  <c r="G141" i="33" s="1"/>
  <c r="L141" i="33" s="1"/>
  <c r="G139" i="33"/>
  <c r="L139" i="33" s="1"/>
  <c r="E138" i="33"/>
  <c r="K138" i="33" s="1"/>
  <c r="L138" i="33" s="1"/>
  <c r="E137" i="33"/>
  <c r="E96" i="33"/>
  <c r="G96" i="33" s="1"/>
  <c r="L96" i="33" s="1"/>
  <c r="E95" i="33"/>
  <c r="G95" i="33" s="1"/>
  <c r="L95" i="33" s="1"/>
  <c r="E94" i="33"/>
  <c r="K94" i="33" s="1"/>
  <c r="L94" i="33" s="1"/>
  <c r="E93" i="33"/>
  <c r="I93" i="33" s="1"/>
  <c r="L93" i="33" s="1"/>
  <c r="E91" i="33"/>
  <c r="G91" i="33" s="1"/>
  <c r="L91" i="33" s="1"/>
  <c r="E90" i="33"/>
  <c r="G90" i="33" s="1"/>
  <c r="L90" i="33" s="1"/>
  <c r="E89" i="33"/>
  <c r="K89" i="33" s="1"/>
  <c r="L89" i="33" s="1"/>
  <c r="E88" i="33"/>
  <c r="I88" i="33" s="1"/>
  <c r="L88" i="33" s="1"/>
  <c r="E86" i="33"/>
  <c r="G86" i="33" s="1"/>
  <c r="L86" i="33" s="1"/>
  <c r="E85" i="33"/>
  <c r="G85" i="33" s="1"/>
  <c r="L85" i="33" s="1"/>
  <c r="E84" i="33"/>
  <c r="K84" i="33" s="1"/>
  <c r="L84" i="33" s="1"/>
  <c r="E83" i="33"/>
  <c r="I83" i="33" s="1"/>
  <c r="L83" i="33" s="1"/>
  <c r="E81" i="33"/>
  <c r="G81" i="33" s="1"/>
  <c r="L81" i="33" s="1"/>
  <c r="E80" i="33"/>
  <c r="G80" i="33" s="1"/>
  <c r="L80" i="33" s="1"/>
  <c r="E79" i="33"/>
  <c r="G79" i="33" s="1"/>
  <c r="L79" i="33" s="1"/>
  <c r="E78" i="33"/>
  <c r="K78" i="33" s="1"/>
  <c r="L78" i="33" s="1"/>
  <c r="E77" i="33"/>
  <c r="I77" i="33" s="1"/>
  <c r="L77" i="33" s="1"/>
  <c r="E105" i="33"/>
  <c r="E129" i="33" l="1"/>
  <c r="G129" i="33" s="1"/>
  <c r="L129" i="33" s="1"/>
  <c r="E127" i="33"/>
  <c r="K127" i="33" s="1"/>
  <c r="L127" i="33" s="1"/>
  <c r="I137" i="33"/>
  <c r="L137" i="33" s="1"/>
  <c r="E140" i="33"/>
  <c r="G140" i="33" s="1"/>
  <c r="L140" i="33" s="1"/>
  <c r="E153" i="33"/>
  <c r="G153" i="33" s="1"/>
  <c r="L153" i="33" s="1"/>
  <c r="E150" i="33"/>
  <c r="G150" i="33" s="1"/>
  <c r="L150" i="33" s="1"/>
  <c r="E147" i="33"/>
  <c r="G147" i="33" s="1"/>
  <c r="L147" i="33" s="1"/>
  <c r="E156" i="33"/>
  <c r="G156" i="33" s="1"/>
  <c r="L156" i="33" s="1"/>
  <c r="E155" i="33"/>
  <c r="G155" i="33" s="1"/>
  <c r="L155" i="33" s="1"/>
  <c r="E152" i="33"/>
  <c r="G152" i="33" s="1"/>
  <c r="L152" i="33" s="1"/>
  <c r="E145" i="33"/>
  <c r="I145" i="33" s="1"/>
  <c r="L145" i="33" s="1"/>
  <c r="E149" i="33"/>
  <c r="E154" i="33"/>
  <c r="G154" i="33" s="1"/>
  <c r="L154" i="33" s="1"/>
  <c r="E151" i="33"/>
  <c r="G151" i="33" s="1"/>
  <c r="L151" i="33" s="1"/>
  <c r="G148" i="33"/>
  <c r="L148" i="33" s="1"/>
  <c r="E146" i="33"/>
  <c r="K146" i="33" s="1"/>
  <c r="L146" i="33" s="1"/>
  <c r="G128" i="33"/>
  <c r="L128" i="33" s="1"/>
  <c r="G149" i="33" l="1"/>
  <c r="L149" i="33" s="1"/>
  <c r="E161" i="33"/>
  <c r="G161" i="33" s="1"/>
  <c r="L161" i="33" s="1"/>
  <c r="G26" i="124" l="1"/>
  <c r="L26" i="124" s="1"/>
  <c r="G37" i="124"/>
  <c r="L37" i="124" s="1"/>
  <c r="G21" i="124"/>
  <c r="L21" i="124" s="1"/>
  <c r="E49" i="124"/>
  <c r="G49" i="124" s="1"/>
  <c r="L49" i="124" s="1"/>
  <c r="G48" i="124"/>
  <c r="L48" i="124" s="1"/>
  <c r="E47" i="124"/>
  <c r="G47" i="124" s="1"/>
  <c r="L47" i="124" s="1"/>
  <c r="E46" i="124"/>
  <c r="K46" i="124" s="1"/>
  <c r="L46" i="124" s="1"/>
  <c r="E45" i="124"/>
  <c r="I45" i="124" s="1"/>
  <c r="L45" i="124" s="1"/>
  <c r="E27" i="124" l="1"/>
  <c r="G27" i="124" s="1"/>
  <c r="L27" i="124" s="1"/>
  <c r="E43" i="124"/>
  <c r="G43" i="124" s="1"/>
  <c r="L43" i="124" s="1"/>
  <c r="G42" i="124"/>
  <c r="L42" i="124" s="1"/>
  <c r="E41" i="124"/>
  <c r="K41" i="124" s="1"/>
  <c r="L41" i="124" s="1"/>
  <c r="E40" i="124"/>
  <c r="I40" i="124" s="1"/>
  <c r="L40" i="124" s="1"/>
  <c r="E38" i="124"/>
  <c r="G38" i="124" s="1"/>
  <c r="L38" i="124" s="1"/>
  <c r="E36" i="124"/>
  <c r="K36" i="124" s="1"/>
  <c r="L36" i="124" s="1"/>
  <c r="E35" i="124"/>
  <c r="I35" i="124" s="1"/>
  <c r="L35" i="124" s="1"/>
  <c r="E28" i="124"/>
  <c r="E33" i="124" s="1"/>
  <c r="G33" i="124" s="1"/>
  <c r="L33" i="124" s="1"/>
  <c r="D29" i="124"/>
  <c r="E25" i="124"/>
  <c r="K25" i="124" s="1"/>
  <c r="L25" i="124" s="1"/>
  <c r="E24" i="124"/>
  <c r="I24" i="124" s="1"/>
  <c r="G22" i="124"/>
  <c r="L22" i="124" s="1"/>
  <c r="E20" i="124"/>
  <c r="K20" i="124" s="1"/>
  <c r="L20" i="124" s="1"/>
  <c r="E19" i="124"/>
  <c r="I19" i="124" s="1"/>
  <c r="L19" i="124" s="1"/>
  <c r="G15" i="124"/>
  <c r="L15" i="124" s="1"/>
  <c r="E17" i="124"/>
  <c r="G17" i="124" s="1"/>
  <c r="L17" i="124" s="1"/>
  <c r="G16" i="124"/>
  <c r="L16" i="124" s="1"/>
  <c r="G14" i="124"/>
  <c r="L14" i="124" s="1"/>
  <c r="G13" i="124"/>
  <c r="E12" i="124"/>
  <c r="K12" i="124" s="1"/>
  <c r="E64" i="37"/>
  <c r="I64" i="37" s="1"/>
  <c r="L64" i="37" s="1"/>
  <c r="E57" i="37"/>
  <c r="I57" i="37" s="1"/>
  <c r="L57" i="37" s="1"/>
  <c r="E48" i="37"/>
  <c r="I48" i="37" s="1"/>
  <c r="L48" i="37" s="1"/>
  <c r="E49" i="37"/>
  <c r="K49" i="37" s="1"/>
  <c r="L49" i="37" s="1"/>
  <c r="E50" i="37"/>
  <c r="G51" i="37"/>
  <c r="L51" i="37" s="1"/>
  <c r="G52" i="37"/>
  <c r="L52" i="37" s="1"/>
  <c r="G53" i="37"/>
  <c r="L53" i="37" s="1"/>
  <c r="E55" i="37"/>
  <c r="G55" i="37" s="1"/>
  <c r="L55" i="37" s="1"/>
  <c r="E58" i="37"/>
  <c r="K58" i="37" s="1"/>
  <c r="L58" i="37" s="1"/>
  <c r="E59" i="37"/>
  <c r="G59" i="37" s="1"/>
  <c r="L59" i="37" s="1"/>
  <c r="E62" i="37"/>
  <c r="G62" i="37" s="1"/>
  <c r="L62" i="37" s="1"/>
  <c r="E65" i="37"/>
  <c r="K65" i="37" s="1"/>
  <c r="L65" i="37" s="1"/>
  <c r="E66" i="37"/>
  <c r="G66" i="37" s="1"/>
  <c r="L66" i="37" s="1"/>
  <c r="E68" i="37"/>
  <c r="G68" i="37" s="1"/>
  <c r="L68" i="37" s="1"/>
  <c r="G50" i="37" l="1"/>
  <c r="L50" i="37" s="1"/>
  <c r="K55" i="38"/>
  <c r="G55" i="38"/>
  <c r="L56" i="38" s="1"/>
  <c r="I55" i="38"/>
  <c r="L12" i="124"/>
  <c r="L13" i="124"/>
  <c r="L24" i="124"/>
  <c r="E29" i="124"/>
  <c r="I29" i="124" s="1"/>
  <c r="L29" i="124" s="1"/>
  <c r="E31" i="124"/>
  <c r="G31" i="124" s="1"/>
  <c r="E32" i="124"/>
  <c r="G32" i="124" s="1"/>
  <c r="L32" i="124" s="1"/>
  <c r="E30" i="124"/>
  <c r="K30" i="124" s="1"/>
  <c r="L30" i="124" s="1"/>
  <c r="L55" i="38" l="1"/>
  <c r="L57" i="38" s="1"/>
  <c r="K51" i="124"/>
  <c r="I51" i="124"/>
  <c r="L31" i="124"/>
  <c r="L51" i="124" s="1"/>
  <c r="G51" i="124"/>
  <c r="L52" i="124" s="1"/>
  <c r="L58" i="38" l="1"/>
  <c r="L59" i="38" s="1"/>
  <c r="L53" i="124"/>
  <c r="L54" i="124" l="1"/>
  <c r="L55" i="124" s="1"/>
  <c r="L56" i="124" s="1"/>
  <c r="G38" i="37"/>
  <c r="L38" i="37" s="1"/>
  <c r="E45" i="37"/>
  <c r="G45" i="37" s="1"/>
  <c r="L45" i="37" s="1"/>
  <c r="G43" i="37"/>
  <c r="L43" i="37" s="1"/>
  <c r="E42" i="37"/>
  <c r="K42" i="37" s="1"/>
  <c r="L42" i="37" s="1"/>
  <c r="E41" i="37"/>
  <c r="I41" i="37" s="1"/>
  <c r="L41" i="37" s="1"/>
  <c r="K77" i="115"/>
  <c r="G64" i="115"/>
  <c r="G77" i="115" s="1"/>
  <c r="L78" i="115" s="1"/>
  <c r="G49" i="115"/>
  <c r="L49" i="115" s="1"/>
  <c r="G48" i="115"/>
  <c r="L48" i="115" s="1"/>
  <c r="G47" i="115"/>
  <c r="L47" i="115" s="1"/>
  <c r="G46" i="115"/>
  <c r="L46" i="115" s="1"/>
  <c r="E44" i="115"/>
  <c r="G44" i="115" s="1"/>
  <c r="L44" i="115" s="1"/>
  <c r="E43" i="115"/>
  <c r="E42" i="115"/>
  <c r="K42" i="115" s="1"/>
  <c r="L42" i="115" s="1"/>
  <c r="E41" i="115"/>
  <c r="I41" i="115" s="1"/>
  <c r="L41" i="115" s="1"/>
  <c r="E38" i="115"/>
  <c r="G38" i="115" s="1"/>
  <c r="L38" i="115" s="1"/>
  <c r="G37" i="115"/>
  <c r="L37" i="115" s="1"/>
  <c r="G36" i="115"/>
  <c r="L36" i="115" s="1"/>
  <c r="G35" i="115"/>
  <c r="L35" i="115" s="1"/>
  <c r="E34" i="115"/>
  <c r="G34" i="115" s="1"/>
  <c r="L34" i="115" s="1"/>
  <c r="E33" i="115"/>
  <c r="I33" i="115" s="1"/>
  <c r="L33" i="115" s="1"/>
  <c r="E31" i="115"/>
  <c r="G31" i="115" s="1"/>
  <c r="L31" i="115" s="1"/>
  <c r="G30" i="115"/>
  <c r="L30" i="115" s="1"/>
  <c r="G29" i="115"/>
  <c r="L29" i="115" s="1"/>
  <c r="E28" i="115"/>
  <c r="G28" i="115" s="1"/>
  <c r="L28" i="115" s="1"/>
  <c r="E27" i="115"/>
  <c r="I27" i="115" s="1"/>
  <c r="L27" i="115" s="1"/>
  <c r="E25" i="115"/>
  <c r="G25" i="115" s="1"/>
  <c r="L25" i="115" s="1"/>
  <c r="E24" i="115"/>
  <c r="G24" i="115" s="1"/>
  <c r="L24" i="115" s="1"/>
  <c r="G23" i="115"/>
  <c r="L23" i="115" s="1"/>
  <c r="G22" i="115"/>
  <c r="L22" i="115" s="1"/>
  <c r="E21" i="115"/>
  <c r="G21" i="115" s="1"/>
  <c r="L21" i="115" s="1"/>
  <c r="E20" i="115"/>
  <c r="I20" i="115" s="1"/>
  <c r="L20" i="115" s="1"/>
  <c r="E18" i="115"/>
  <c r="G18" i="115" s="1"/>
  <c r="L18" i="115" s="1"/>
  <c r="E17" i="115"/>
  <c r="G17" i="115" s="1"/>
  <c r="L17" i="115" s="1"/>
  <c r="E16" i="115"/>
  <c r="K16" i="115" s="1"/>
  <c r="L16" i="115" s="1"/>
  <c r="E15" i="115"/>
  <c r="I15" i="115" s="1"/>
  <c r="L15" i="115" s="1"/>
  <c r="E13" i="115"/>
  <c r="G13" i="115" s="1"/>
  <c r="L13" i="115" s="1"/>
  <c r="G12" i="115"/>
  <c r="L12" i="115" s="1"/>
  <c r="E11" i="115"/>
  <c r="K11" i="115" s="1"/>
  <c r="L11" i="115" s="1"/>
  <c r="E10" i="115"/>
  <c r="I10" i="115" s="1"/>
  <c r="L10" i="115" s="1"/>
  <c r="L64" i="115" l="1"/>
  <c r="L57" i="124"/>
  <c r="D15" i="29" s="1"/>
  <c r="G43" i="115"/>
  <c r="L43" i="115" s="1"/>
  <c r="I77" i="115"/>
  <c r="I51" i="115"/>
  <c r="L54" i="115" s="1"/>
  <c r="K51" i="115"/>
  <c r="L77" i="115" l="1"/>
  <c r="L79" i="115" s="1"/>
  <c r="L80" i="115" s="1"/>
  <c r="L81" i="115" s="1"/>
  <c r="G51" i="115"/>
  <c r="L52" i="115" s="1"/>
  <c r="L51" i="115"/>
  <c r="L53" i="115" l="1"/>
  <c r="L55" i="115" s="1"/>
  <c r="L56" i="115" s="1"/>
  <c r="L57" i="115" s="1"/>
  <c r="L86" i="115" s="1"/>
  <c r="E14" i="29" s="1"/>
  <c r="E17" i="29" s="1"/>
  <c r="L82" i="115"/>
  <c r="L83" i="115" s="1"/>
  <c r="L85" i="115" l="1"/>
  <c r="D14" i="29" s="1"/>
  <c r="L84" i="115"/>
  <c r="E108" i="33" l="1"/>
  <c r="G108" i="33" s="1"/>
  <c r="L108" i="33" s="1"/>
  <c r="E112" i="33"/>
  <c r="G112" i="33" s="1"/>
  <c r="L112" i="33" s="1"/>
  <c r="E111" i="33"/>
  <c r="G111" i="33" s="1"/>
  <c r="L111" i="33" s="1"/>
  <c r="E110" i="33"/>
  <c r="G110" i="33" s="1"/>
  <c r="L110" i="33" s="1"/>
  <c r="E109" i="33"/>
  <c r="G109" i="33" s="1"/>
  <c r="L109" i="33" s="1"/>
  <c r="E107" i="33"/>
  <c r="K107" i="33" s="1"/>
  <c r="L107" i="33" s="1"/>
  <c r="E106" i="33"/>
  <c r="I106" i="33" s="1"/>
  <c r="L106" i="33" s="1"/>
  <c r="E97" i="33"/>
  <c r="E103" i="33" s="1"/>
  <c r="G103" i="33" s="1"/>
  <c r="L103" i="33" s="1"/>
  <c r="E58" i="33"/>
  <c r="G58" i="33" s="1"/>
  <c r="L58" i="33" s="1"/>
  <c r="I114" i="33" l="1"/>
  <c r="L114" i="33" s="1"/>
  <c r="E99" i="33"/>
  <c r="K99" i="33" s="1"/>
  <c r="L99" i="33" s="1"/>
  <c r="E100" i="33"/>
  <c r="G100" i="33" s="1"/>
  <c r="L100" i="33" s="1"/>
  <c r="E102" i="33"/>
  <c r="G102" i="33" s="1"/>
  <c r="L102" i="33" s="1"/>
  <c r="E101" i="33"/>
  <c r="G101" i="33" s="1"/>
  <c r="L101" i="33" s="1"/>
  <c r="E98" i="33"/>
  <c r="I98" i="33" s="1"/>
  <c r="L98" i="33" s="1"/>
  <c r="E104" i="33"/>
  <c r="G104" i="33" s="1"/>
  <c r="L104" i="33" s="1"/>
  <c r="E56" i="33"/>
  <c r="G56" i="33" s="1"/>
  <c r="E54" i="33"/>
  <c r="I54" i="33" s="1"/>
  <c r="E57" i="33"/>
  <c r="G57" i="33" s="1"/>
  <c r="L57" i="33" s="1"/>
  <c r="E55" i="33"/>
  <c r="K55" i="33" s="1"/>
  <c r="G252" i="33" l="1"/>
  <c r="L56" i="33"/>
  <c r="L55" i="33"/>
  <c r="L54" i="33"/>
  <c r="E37" i="37" l="1"/>
  <c r="E11" i="33"/>
  <c r="E12" i="33" l="1"/>
  <c r="I12" i="33" s="1"/>
  <c r="L12" i="33" s="1"/>
  <c r="L252" i="33" s="1"/>
  <c r="L253" i="33"/>
  <c r="K252" i="33"/>
  <c r="I252" i="33" l="1"/>
  <c r="L254" i="33"/>
  <c r="L255" i="33" s="1"/>
  <c r="L256" i="33" s="1"/>
  <c r="L257" i="33" l="1"/>
  <c r="G26" i="37" l="1"/>
  <c r="L26" i="37" s="1"/>
  <c r="G16" i="37"/>
  <c r="L16" i="37" s="1"/>
  <c r="E523" i="37" l="1"/>
  <c r="E39" i="37"/>
  <c r="G39" i="37" s="1"/>
  <c r="L39" i="37" s="1"/>
  <c r="G37" i="37"/>
  <c r="L37" i="37" s="1"/>
  <c r="E36" i="37"/>
  <c r="K36" i="37" s="1"/>
  <c r="L36" i="37" s="1"/>
  <c r="E35" i="37"/>
  <c r="I35" i="37" s="1"/>
  <c r="L35" i="37" s="1"/>
  <c r="E33" i="37"/>
  <c r="G33" i="37" s="1"/>
  <c r="L33" i="37" s="1"/>
  <c r="G31" i="37"/>
  <c r="L31" i="37" s="1"/>
  <c r="E30" i="37"/>
  <c r="K30" i="37" s="1"/>
  <c r="L30" i="37" s="1"/>
  <c r="E29" i="37"/>
  <c r="I29" i="37" s="1"/>
  <c r="L29" i="37" s="1"/>
  <c r="E27" i="37"/>
  <c r="G27" i="37" s="1"/>
  <c r="L27" i="37" s="1"/>
  <c r="G25" i="37"/>
  <c r="L25" i="37" s="1"/>
  <c r="G24" i="37"/>
  <c r="L24" i="37" s="1"/>
  <c r="G23" i="37"/>
  <c r="L23" i="37" s="1"/>
  <c r="G22" i="37"/>
  <c r="L22" i="37" s="1"/>
  <c r="E21" i="37"/>
  <c r="G21" i="37" s="1"/>
  <c r="L21" i="37" s="1"/>
  <c r="E20" i="37"/>
  <c r="K20" i="37" s="1"/>
  <c r="L20" i="37" s="1"/>
  <c r="E19" i="37"/>
  <c r="I19" i="37" s="1"/>
  <c r="L19" i="37" s="1"/>
  <c r="E17" i="37"/>
  <c r="G17" i="37" s="1"/>
  <c r="L17" i="37" s="1"/>
  <c r="G15" i="37"/>
  <c r="L15" i="37" s="1"/>
  <c r="G14" i="37"/>
  <c r="L14" i="37" s="1"/>
  <c r="G13" i="37"/>
  <c r="L13" i="37" s="1"/>
  <c r="E12" i="37"/>
  <c r="G12" i="37" s="1"/>
  <c r="E11" i="37"/>
  <c r="K11" i="37" s="1"/>
  <c r="E10" i="37"/>
  <c r="I10" i="37" s="1"/>
  <c r="L12" i="37" l="1"/>
  <c r="G69" i="37"/>
  <c r="L70" i="37" s="1"/>
  <c r="L10" i="37"/>
  <c r="I69" i="37"/>
  <c r="L11" i="37"/>
  <c r="K69" i="37"/>
  <c r="L69" i="37" l="1"/>
  <c r="L71" i="37" s="1"/>
  <c r="L72" i="37" l="1"/>
  <c r="L73" i="37" s="1"/>
  <c r="F17" i="29"/>
  <c r="L60" i="38"/>
  <c r="L61" i="38" s="1"/>
  <c r="D13" i="29" l="1"/>
  <c r="H13" i="29" s="1"/>
  <c r="L74" i="37"/>
  <c r="L75" i="37" s="1"/>
  <c r="D12" i="29" s="1"/>
  <c r="H12" i="29" s="1"/>
  <c r="H14" i="29"/>
  <c r="L258" i="33" l="1"/>
  <c r="D11" i="29" l="1"/>
  <c r="D17" i="29" s="1"/>
  <c r="H11" i="29" l="1"/>
  <c r="H15" i="29" l="1"/>
  <c r="H17" i="29" s="1"/>
  <c r="H18" i="29" l="1"/>
  <c r="H19" i="29" s="1"/>
  <c r="H20" i="29" l="1"/>
  <c r="H21" i="29" s="1"/>
  <c r="G22" i="29" s="1"/>
  <c r="H22" i="29" l="1"/>
  <c r="H23" i="29" s="1"/>
  <c r="G23" i="29"/>
  <c r="H8" i="53" l="1"/>
  <c r="L8" i="53" s="1"/>
  <c r="K20" i="55"/>
  <c r="G6" i="29"/>
</calcChain>
</file>

<file path=xl/sharedStrings.xml><?xml version="1.0" encoding="utf-8"?>
<sst xmlns="http://schemas.openxmlformats.org/spreadsheetml/2006/main" count="1662" uniqueCount="464">
  <si>
    <t>კრებსითი სახარჯთაღრიცხვო  გაანგარიშება</t>
  </si>
  <si>
    <t xml:space="preserve">სახარჯთაღრიცხვო ღირებულება  </t>
  </si>
  <si>
    <t>ლარი</t>
  </si>
  <si>
    <t>შეადგინა</t>
  </si>
  <si>
    <t>./ დ. ურჯუმელაშვილი/</t>
  </si>
  <si>
    <t>ganmartebiTi baraTi</t>
  </si>
  <si>
    <t xml:space="preserve">   სახარჯთაღრიცხვო დოკუმენტაცია შედგენილია მუშა ნახაზების საფუძველზე.</t>
  </si>
  <si>
    <t xml:space="preserve">    mTlianma saxarjTaRricxvo Rirebulebam Seadgina:</t>
  </si>
  <si>
    <t>lari, maT Soris dRg:</t>
  </si>
  <si>
    <t>lari.</t>
  </si>
  <si>
    <t xml:space="preserve">   სახარჯთაღრიცხვო დოკუმენტაცია საბაზრო ურთიერთობების პირობებში განსაზღვრავს მშენებლობის  წინასწარ საორიენტაციო ღირებულებას და არ წარმოადგენს დამკვეთსა და მოიჯარეს შორის გადახდის საშუალებას.</t>
  </si>
  <si>
    <t>შეადგინა:</t>
  </si>
  <si>
    <t>/  დ.ურჯუმელაშვილი /</t>
  </si>
  <si>
    <t>#</t>
  </si>
  <si>
    <t>სახარჯთარრიცხვო ანგარიშის, ხარჯთაღრიცხვის ნომერი</t>
  </si>
  <si>
    <t>სახარჯთაღრიცხვო ღირებულება, ლარი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</si>
  <si>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</si>
  <si>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</si>
  <si>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</si>
  <si>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 და ინვენტარი</t>
  </si>
  <si>
    <t>სხვა ხარჯები</t>
  </si>
  <si>
    <t>ჯამი</t>
  </si>
  <si>
    <t>სულ</t>
  </si>
  <si>
    <t>რეზერვი გაუთვალისწინებელ სამუშაოებზე 5%</t>
  </si>
  <si>
    <t xml:space="preserve">დამატებული ღირებულების გადასახადი 18% </t>
  </si>
  <si>
    <t>სახარჯთაღრიცხვო ღირებულება</t>
  </si>
  <si>
    <t>rigiTi #</t>
  </si>
  <si>
    <t>სამუშაოების და დანახარჯების დასახელება</t>
  </si>
  <si>
    <t xml:space="preserve">სამონტაჟო სამუშაოები </t>
  </si>
  <si>
    <t>ლრხ. #1-1</t>
  </si>
  <si>
    <t>საერთო-სამშენებლო სამუშაოები</t>
  </si>
  <si>
    <t>ლრხ. #1-2</t>
  </si>
  <si>
    <t>ელექტროსამონტაჟო სამუშაოები</t>
  </si>
  <si>
    <t>გათბობა-გაგრილების სამუშაოები</t>
  </si>
  <si>
    <t>ლოკალურ-რესურსული ხარჯთაღრიცხვა #1-1</t>
  </si>
  <si>
    <t>განზ.ერთ.</t>
  </si>
  <si>
    <t>რაოდენობა</t>
  </si>
  <si>
    <t>მასალა</t>
  </si>
  <si>
    <t>ხელფასი</t>
  </si>
  <si>
    <t>ტრანსპორტი (მექანიზმები)</t>
  </si>
  <si>
    <t>ღირებულება</t>
  </si>
  <si>
    <t>განზ. ერთ-ზე</t>
  </si>
  <si>
    <t>ganz. erT-ze</t>
  </si>
  <si>
    <t>sul</t>
  </si>
  <si>
    <r>
      <rPr>
        <b/>
        <sz val="10"/>
        <rFont val="AcadNusx"/>
      </rPr>
      <t>მ</t>
    </r>
    <r>
      <rPr>
        <b/>
        <vertAlign val="superscript"/>
        <sz val="10"/>
        <rFont val="AcadNusx"/>
      </rPr>
      <t>3</t>
    </r>
  </si>
  <si>
    <t>შრომის დანახარჯები</t>
  </si>
  <si>
    <t>კაც.სთ</t>
  </si>
  <si>
    <t>მან.სთ</t>
  </si>
  <si>
    <t>სხვა მანქანები</t>
  </si>
  <si>
    <t>ღორღი</t>
  </si>
  <si>
    <r>
      <rPr>
        <sz val="10"/>
        <rFont val="AcadNusx"/>
      </rPr>
      <t>მ</t>
    </r>
    <r>
      <rPr>
        <vertAlign val="superscript"/>
        <sz val="10"/>
        <rFont val="AcadNusx"/>
      </rPr>
      <t>3</t>
    </r>
  </si>
  <si>
    <t>ტ</t>
  </si>
  <si>
    <r>
      <rPr>
        <b/>
        <sz val="10"/>
        <rFont val="AcadNusx"/>
      </rPr>
      <t>მ</t>
    </r>
    <r>
      <rPr>
        <b/>
        <vertAlign val="superscript"/>
        <sz val="10"/>
        <rFont val="AcadNusx"/>
      </rPr>
      <t>2</t>
    </r>
  </si>
  <si>
    <t>მანქანები</t>
  </si>
  <si>
    <t>სხვა მასალები</t>
  </si>
  <si>
    <t>შრომის დანახარჯი</t>
  </si>
  <si>
    <r>
      <rPr>
        <sz val="10"/>
        <rFont val="AcadNusx"/>
      </rP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-15</t>
    </r>
  </si>
  <si>
    <r>
      <rPr>
        <sz val="10"/>
        <rFont val="AcadNusx"/>
      </rPr>
      <t>მ</t>
    </r>
    <r>
      <rPr>
        <vertAlign val="superscript"/>
        <sz val="10"/>
        <rFont val="AcadNusx"/>
      </rPr>
      <t>2</t>
    </r>
  </si>
  <si>
    <t>ხის მასალა</t>
  </si>
  <si>
    <t>ელექტროდი</t>
  </si>
  <si>
    <t>კგ</t>
  </si>
  <si>
    <t>ჭანჭიკები</t>
  </si>
  <si>
    <r>
      <rPr>
        <sz val="10"/>
        <rFont val="AcadNusx"/>
      </rPr>
      <t xml:space="preserve">არმატურა </t>
    </r>
    <r>
      <rPr>
        <i/>
        <sz val="10"/>
        <rFont val="AcadNusx"/>
      </rPr>
      <t xml:space="preserve"> </t>
    </r>
    <r>
      <rPr>
        <i/>
        <sz val="10"/>
        <rFont val="Calibri"/>
        <family val="2"/>
        <charset val="204"/>
      </rPr>
      <t>Φ8A-240</t>
    </r>
  </si>
  <si>
    <r>
      <rPr>
        <sz val="10"/>
        <rFont val="AcadNusx"/>
      </rPr>
      <t xml:space="preserve">არმატურა </t>
    </r>
    <r>
      <rPr>
        <i/>
        <sz val="10"/>
        <rFont val="AcadNusx"/>
      </rPr>
      <t xml:space="preserve"> </t>
    </r>
    <r>
      <rPr>
        <i/>
        <sz val="10"/>
        <rFont val="Calibri"/>
        <family val="2"/>
        <charset val="204"/>
      </rPr>
      <t>Φ10A-500</t>
    </r>
  </si>
  <si>
    <t>kac.sT</t>
  </si>
  <si>
    <t>ცალი</t>
  </si>
  <si>
    <t>სხვა  მანქანები</t>
  </si>
  <si>
    <t>man.sT</t>
  </si>
  <si>
    <t>სამონტაჟო სამარჯვების ფოლადის კონსტრუქციები</t>
  </si>
  <si>
    <t>მ</t>
  </si>
  <si>
    <t>lari</t>
  </si>
  <si>
    <t>ცემენტი</t>
  </si>
  <si>
    <t>ლითონის კონსტრუქციების შეღებვა ანტიკოროზიული საღებავით</t>
  </si>
  <si>
    <t>გამხსნელი</t>
  </si>
  <si>
    <t>ბლოკი 40X20X20</t>
  </si>
  <si>
    <t>ქვიშა-ცემენტის ხსნარი მ-75</t>
  </si>
  <si>
    <t xml:space="preserve">შრომის დანახარჯები </t>
  </si>
  <si>
    <t xml:space="preserve">შურუპი თვითმჭრელი ((TN) 3.5*25 </t>
  </si>
  <si>
    <t>საიზოლაციო ლენტი პროფილებისათვის PE 100 25მ</t>
  </si>
  <si>
    <t>კნაუფის ჭერის მიმმართველი პროფილი @ U 27\28\27\0.6 \3000  KNAUF</t>
  </si>
  <si>
    <t>რკინის დიუბელი</t>
  </si>
  <si>
    <t>მავთული ყულფით</t>
  </si>
  <si>
    <t>ანკერი სწრაფსაკიდი</t>
  </si>
  <si>
    <t xml:space="preserve">ნესტგამძლე  კნაუფის თაბაშირ–მუყაოს ფილა 2500*1200*12.5 </t>
  </si>
  <si>
    <t>ჭერების მოწყობა ამსტრონგის ფილებისაგან</t>
  </si>
  <si>
    <t>ამსტრონგის ჭერი კომპლექტში</t>
  </si>
  <si>
    <t>ქვიშა-ცემენტის ხსნარი 1:3</t>
  </si>
  <si>
    <t>წებო-ცემენტი</t>
  </si>
  <si>
    <t>ნაკერის შემავსებელი</t>
  </si>
  <si>
    <t>ქვიშა-ცემენტის ხსნარი m-150</t>
  </si>
  <si>
    <t>ნაკერების შემავსებელი</t>
  </si>
  <si>
    <t>ლითონის კარების მონტაჟი</t>
  </si>
  <si>
    <t>ფითხი</t>
  </si>
  <si>
    <t>პირდაპირი დანახარჯების ჯამი</t>
  </si>
  <si>
    <t>ზედნადები ხარჯები</t>
  </si>
  <si>
    <t>10%</t>
  </si>
  <si>
    <t>8%</t>
  </si>
  <si>
    <t>გეგმიური დაგროვება</t>
  </si>
  <si>
    <t>ლოკალურ-რესურსული ხარჯთაღრიცხვა #1-2</t>
  </si>
  <si>
    <t xml:space="preserve"> </t>
  </si>
  <si>
    <t>როზეტების მონტაჟი</t>
  </si>
  <si>
    <t>ჩამრთველების მონტაჟი</t>
  </si>
  <si>
    <t>ზოლოვანი სანათების მონტაჟი</t>
  </si>
  <si>
    <t>ზოლოვანი სანათი</t>
  </si>
  <si>
    <t>cali</t>
  </si>
  <si>
    <t>m</t>
  </si>
  <si>
    <t>მ.შ. სამშენებლო სამუშაოები</t>
  </si>
  <si>
    <t>კ-ტი</t>
  </si>
  <si>
    <t>ლოკალურ-რესურსული ხარჯთაღრიცხვა #1-4</t>
  </si>
  <si>
    <r>
      <rPr>
        <sz val="10"/>
        <rFont val="AcadMtavr"/>
      </rPr>
      <t>დეკორატიული პანელი-</t>
    </r>
    <r>
      <rPr>
        <sz val="10"/>
        <rFont val="Calibri"/>
        <family val="2"/>
        <charset val="204"/>
        <scheme val="minor"/>
      </rPr>
      <t>FUNDERMAX-  0260-Arezzo-0244 Santos კომბინაციით-შესაბამისი</t>
    </r>
  </si>
  <si>
    <t>ფიბრობეტონის პანელი სისქით მინ 1.2 სმ</t>
  </si>
  <si>
    <r>
      <rPr>
        <b/>
        <sz val="10"/>
        <rFont val="AcadNusx"/>
      </rPr>
      <t xml:space="preserve">ფანჯრის ფერდების მოპირკეთება მდფ-ის ფილებით, </t>
    </r>
    <r>
      <rPr>
        <b/>
        <sz val="10"/>
        <rFont val="Arial"/>
        <family val="2"/>
        <charset val="204"/>
      </rPr>
      <t>RAL-6018 შესაბამისი</t>
    </r>
  </si>
  <si>
    <t>სვეტების დამუშავება და დაფარვა ბეტონის ლაქით</t>
  </si>
  <si>
    <t xml:space="preserve">Sromis danaxarjebi </t>
  </si>
  <si>
    <t>მილსადენი პლასტმასის მილებისაგან დ-20 მმ</t>
  </si>
  <si>
    <r>
      <rPr>
        <sz val="11"/>
        <rFont val="Calibri"/>
        <family val="2"/>
        <charset val="204"/>
        <scheme val="minor"/>
      </rPr>
      <t xml:space="preserve">პლასტმასის მილი PN16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გ-20 მმ </t>
    </r>
  </si>
  <si>
    <t>ქურო        Ø20</t>
  </si>
  <si>
    <r>
      <rPr>
        <sz val="10"/>
        <rFont val="Arial"/>
        <family val="2"/>
        <charset val="204"/>
      </rPr>
      <t>მუხლი  90</t>
    </r>
    <r>
      <rPr>
        <sz val="11"/>
        <rFont val="Calibri"/>
        <family val="2"/>
        <charset val="204"/>
      </rPr>
      <t>°         Ø20</t>
    </r>
  </si>
  <si>
    <t>სამკაპი      Ø20/20</t>
  </si>
  <si>
    <t>მილსადენი პლასტმასის მილებისაგან დ-25 მმ</t>
  </si>
  <si>
    <r>
      <rPr>
        <sz val="11"/>
        <rFont val="Calibri"/>
        <family val="2"/>
        <charset val="204"/>
        <scheme val="minor"/>
      </rPr>
      <t xml:space="preserve">პლასტმასის მილი PN16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გ-25 მმ </t>
    </r>
  </si>
  <si>
    <t>ქურო        Ø25</t>
  </si>
  <si>
    <r>
      <rPr>
        <sz val="10"/>
        <rFont val="Arial"/>
        <family val="2"/>
        <charset val="204"/>
      </rPr>
      <t>მუხლი  90</t>
    </r>
    <r>
      <rPr>
        <sz val="11"/>
        <rFont val="Calibri"/>
        <family val="2"/>
        <charset val="204"/>
      </rPr>
      <t>°         Ø25</t>
    </r>
  </si>
  <si>
    <t>გადამყვანი      Ø25/20</t>
  </si>
  <si>
    <t>შემრევი ონკანების მონტაჟი</t>
  </si>
  <si>
    <t>წყალგამაცხელებლის   მონტაჟი</t>
  </si>
  <si>
    <t>ვენტილების მონტაჟი დ-50 მმ-მდე</t>
  </si>
  <si>
    <t>jami</t>
  </si>
  <si>
    <t>მილსადენი პლასტმასის საკანალიზაციო მილებისაგან დ-50მმ</t>
  </si>
  <si>
    <t>პლასტმასის საკანალიზაციო მილები Ø50</t>
  </si>
  <si>
    <t>მუხლი საკანალიზაციო      Ø50-45°</t>
  </si>
  <si>
    <t>მუხლი საკანალიზაციო      Ø50-90°</t>
  </si>
  <si>
    <t>მილსადენი პლასტმასის საკანალიზაციო მილებისაგან დ-110 მმ</t>
  </si>
  <si>
    <t>k-ti</t>
  </si>
  <si>
    <t>უნიტაზების მონტაჟი</t>
  </si>
  <si>
    <t>მ²</t>
  </si>
  <si>
    <t>სამაგრები</t>
  </si>
  <si>
    <r>
      <rPr>
        <sz val="10"/>
        <rFont val="AcadNusx"/>
      </rP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-25</t>
    </r>
  </si>
  <si>
    <t>ქვიშა</t>
  </si>
  <si>
    <r>
      <rPr>
        <sz val="10"/>
        <rFont val="AcadNusx"/>
      </rPr>
      <t xml:space="preserve"> m</t>
    </r>
    <r>
      <rPr>
        <vertAlign val="superscript"/>
        <sz val="10"/>
        <rFont val="AcadNusx"/>
      </rPr>
      <t>3</t>
    </r>
  </si>
  <si>
    <t>kac/sT</t>
  </si>
  <si>
    <t xml:space="preserve">ლითონის კონსტრუციების შეღებვა ანტიკოროზიული საღებავით  </t>
  </si>
  <si>
    <t>ბორდიურების მოწყობა</t>
  </si>
  <si>
    <t>gr/m</t>
  </si>
  <si>
    <t>ბეტონის ბორდიური 30X15X100</t>
  </si>
  <si>
    <t>სარწყავი მანქანა 6000ლ</t>
  </si>
  <si>
    <t>წყალი</t>
  </si>
  <si>
    <t>საყალიბე ფარი</t>
  </si>
  <si>
    <t>ორკომპონენტიანი პოლიურეთანის საფარი</t>
  </si>
  <si>
    <t>სარწყავი მანქანა 6000 ლ</t>
  </si>
  <si>
    <r>
      <t>მ</t>
    </r>
    <r>
      <rPr>
        <vertAlign val="superscript"/>
        <sz val="10"/>
        <rFont val="AcadNusx"/>
      </rPr>
      <t>2</t>
    </r>
  </si>
  <si>
    <r>
      <t>მ</t>
    </r>
    <r>
      <rPr>
        <vertAlign val="superscript"/>
        <sz val="10"/>
        <rFont val="AcadNusx"/>
      </rPr>
      <t>3</t>
    </r>
  </si>
  <si>
    <t>სამაგრები        Ø20</t>
  </si>
  <si>
    <t>სამაგრები        Ø25</t>
  </si>
  <si>
    <t xml:space="preserve">ალუმინის ვიტრაჟების    მონტაჟი  </t>
  </si>
  <si>
    <t>სამაგრების  ფოლადის  კონსტრუქციები</t>
  </si>
  <si>
    <r>
      <t>მ</t>
    </r>
    <r>
      <rPr>
        <b/>
        <vertAlign val="superscript"/>
        <sz val="10"/>
        <rFont val="AcadNusx"/>
      </rPr>
      <t>3</t>
    </r>
  </si>
  <si>
    <t>t</t>
  </si>
  <si>
    <t>ფითხი    Knauf Fugenfuller ან ( Knauf Uniflot)</t>
  </si>
  <si>
    <t>ხელსაბნების  მონტაჟი</t>
  </si>
  <si>
    <r>
      <t>მ</t>
    </r>
    <r>
      <rPr>
        <b/>
        <vertAlign val="superscript"/>
        <sz val="10"/>
        <rFont val="AcadNusx"/>
      </rPr>
      <t>2</t>
    </r>
  </si>
  <si>
    <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-15</t>
    </r>
  </si>
  <si>
    <r>
      <t xml:space="preserve">ბეტონი </t>
    </r>
    <r>
      <rPr>
        <sz val="10"/>
        <rFont val="Arial"/>
        <family val="2"/>
        <charset val="204"/>
      </rPr>
      <t>B25</t>
    </r>
  </si>
  <si>
    <r>
      <t>m</t>
    </r>
    <r>
      <rPr>
        <b/>
        <vertAlign val="superscript"/>
        <sz val="10"/>
        <rFont val="AcadNusx"/>
      </rPr>
      <t>2</t>
    </r>
  </si>
  <si>
    <r>
      <t xml:space="preserve">კნაუფის ჭერის პროფილი @ C 27\60\27\0.6 \3000     </t>
    </r>
    <r>
      <rPr>
        <sz val="10"/>
        <rFont val="Arial"/>
        <family val="2"/>
        <charset val="204"/>
      </rPr>
      <t>KNAUF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</si>
  <si>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</si>
  <si>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</si>
  <si>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r>
      <t>სამკაპი საკანალიზაციო       Ø50/50-90</t>
    </r>
    <r>
      <rPr>
        <vertAlign val="superscript"/>
        <sz val="10"/>
        <rFont val="Arial"/>
        <family val="2"/>
        <charset val="204"/>
      </rPr>
      <t>0</t>
    </r>
  </si>
  <si>
    <r>
      <t xml:space="preserve">პლასტმასის საკანალიზაციო მილები </t>
    </r>
    <r>
      <rPr>
        <sz val="10"/>
        <rFont val="Arial"/>
        <family val="2"/>
        <charset val="204"/>
      </rPr>
      <t>Ø110</t>
    </r>
  </si>
  <si>
    <r>
      <t>მუხლი      Ø110-90</t>
    </r>
    <r>
      <rPr>
        <vertAlign val="superscript"/>
        <sz val="10"/>
        <rFont val="Arial"/>
        <family val="2"/>
        <charset val="204"/>
      </rPr>
      <t>0</t>
    </r>
  </si>
  <si>
    <r>
      <t>მუხლი      Ø110-45</t>
    </r>
    <r>
      <rPr>
        <vertAlign val="superscript"/>
        <sz val="10"/>
        <rFont val="Arial"/>
        <family val="2"/>
        <charset val="204"/>
      </rPr>
      <t>0</t>
    </r>
  </si>
  <si>
    <r>
      <t>ცხაურების (გისოსების) მონტაჟი 0.25მ</t>
    </r>
    <r>
      <rPr>
        <b/>
        <vertAlign val="superscript"/>
        <sz val="10"/>
        <rFont val="AcadMtavr"/>
      </rPr>
      <t>2</t>
    </r>
    <r>
      <rPr>
        <b/>
        <sz val="10"/>
        <rFont val="AcadMtavr"/>
      </rPr>
      <t>-მდე</t>
    </r>
  </si>
  <si>
    <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-25</t>
    </r>
  </si>
  <si>
    <t>განზ.
ერთ.</t>
  </si>
  <si>
    <t xml:space="preserve">  </t>
  </si>
  <si>
    <t>თბილისი-2021 წ.</t>
  </si>
  <si>
    <t>,, გალფის"  ხუთი ავტოგასამართი სადგურის სარეკონსტრუქციო სამუშაოები</t>
  </si>
  <si>
    <t xml:space="preserve">    ცალკეულ სამუშაოთა  მატერიალური და შრომითი რესურსების რაოდენობის   დასადგენად  გამოყენებულია 1984 წლის სახარჯთაღრიცხვო ნორმატივები.. მასალების ღირებულება განსაზღვრულია სრფ 2021წ -IIkv da sabazro fasebis mixedviT.  ხარჯთაღრიცხვაში გათვალისწინებულია  ზედნადები ხარჯები -10%, საერთო სამშენებლო და  12% სანტექნიკურ სამუშაოებზე: 75% ხელფასიდან  ელექტროსამონტაჟო სამუშაოებზე: 65% ხელფასიდან -სუსტი დენების სამონტაჟო სამუშაოებზე: 68% ხელფასიდან დანადგარების მონტაჟზე; 72%ხელფასიდან ვიდეომეთვალყურეობის მონტაჟზე.  gegmiuri dagroveba -8%; rezervi gauTvaliswinebel samuSaoebze -5% da damatebiTi Rirebulebis gadasaxadi -18%.</t>
  </si>
  <si>
    <t>ოფისის 4-1 ღერძზე  არსებული კარების  (0.98X2) დემონტაჟი-1 ცალი</t>
  </si>
  <si>
    <t>სახურავის  ბურულის  დემონტაჟი</t>
  </si>
  <si>
    <t>სახურავის  კონსტრუქციის    დემონტაჟი</t>
  </si>
  <si>
    <t>აგს-ის  ბაქანზე იატაკის მოჭიმვის მოხსნა</t>
  </si>
  <si>
    <t>აგს-ის  ბაქანზე  (+0.30 ნიშნულზე) იატაკის ფილების მოხსნა</t>
  </si>
  <si>
    <t>საოფისე შენობის გარშემო (+0.15 ნიშნულზე) ბორდიურების დემონტაჟი</t>
  </si>
  <si>
    <t>გრძ.მ</t>
  </si>
  <si>
    <t>ფარდულის შეკიდული ჭერის    დემონტაჟი</t>
  </si>
  <si>
    <t xml:space="preserve"> ვენტილი 1/2</t>
  </si>
  <si>
    <r>
      <t>სამკაპი საკანალიზაციო       Ø110/110-90</t>
    </r>
    <r>
      <rPr>
        <vertAlign val="superscript"/>
        <sz val="10"/>
        <rFont val="Arial"/>
        <family val="2"/>
        <charset val="204"/>
      </rPr>
      <t>0</t>
    </r>
  </si>
  <si>
    <t>ტერიტორიის  კეთილმოწყობა</t>
  </si>
  <si>
    <r>
      <t xml:space="preserve"> m</t>
    </r>
    <r>
      <rPr>
        <b/>
        <vertAlign val="superscript"/>
        <sz val="10"/>
        <rFont val="AcadNusx"/>
      </rPr>
      <t>2</t>
    </r>
  </si>
  <si>
    <t>avtogreideri 79 კვტ</t>
  </si>
  <si>
    <t>buldozeri 79კვტ</t>
  </si>
  <si>
    <t>satkepni 5t</t>
  </si>
  <si>
    <t>satkepni 10t</t>
  </si>
  <si>
    <t>RorRi</t>
  </si>
  <si>
    <t>თხევადი ბიტუმის დასხმა</t>
  </si>
  <si>
    <t>ავტოგუდრონატორი  3500ლ</t>
  </si>
  <si>
    <t>ბიტუმის ემულსია</t>
  </si>
  <si>
    <t>ასფალტობეტონის დამგები</t>
  </si>
  <si>
    <t>sxva manqanebi</t>
  </si>
  <si>
    <t>asfaltobetonis narevi msxvilmarcvlovani</t>
  </si>
  <si>
    <t>sxva masalebi</t>
  </si>
  <si>
    <t>asfaltobetonis narevi wvrilmarcvlovani</t>
  </si>
  <si>
    <r>
      <t>ბეტონი  B</t>
    </r>
    <r>
      <rPr>
        <sz val="10"/>
        <rFont val="Arial"/>
        <family val="2"/>
      </rPr>
      <t>B25</t>
    </r>
  </si>
  <si>
    <r>
      <t xml:space="preserve">არმატურა </t>
    </r>
    <r>
      <rPr>
        <i/>
        <sz val="10"/>
        <rFont val="AcadNusx"/>
      </rPr>
      <t xml:space="preserve"> </t>
    </r>
    <r>
      <rPr>
        <i/>
        <sz val="10"/>
        <rFont val="Calibri"/>
        <family val="2"/>
      </rPr>
      <t>Φ10A-500</t>
    </r>
  </si>
  <si>
    <t xml:space="preserve"> ბეტონის საფარის ზედაპირების დაფარვა პოლიურეთანით</t>
  </si>
  <si>
    <t>ბეტონის საფარის  მოხეხვა</t>
  </si>
  <si>
    <t>ქვიშა  კვარცის</t>
  </si>
  <si>
    <t>სარეკლამო   ბანერების  ღობე</t>
  </si>
  <si>
    <t>საყალიბო ფარი (ლამინირებული  ფანერა)</t>
  </si>
  <si>
    <t>ლითონის  კონსტრუქციების მონტაჟი</t>
  </si>
  <si>
    <t>ოფისი</t>
  </si>
  <si>
    <t>ლითონის კარი ცეცხლმედეგი. ცეცხლმედეგობის ხარისხი  90 წთ. ფერი  RAL 9005-ის შესაბამისი ფერის</t>
  </si>
  <si>
    <t>ფანჯრებზე  ლითონის გისოსების  მოწყობა</t>
  </si>
  <si>
    <t>ფარდული</t>
  </si>
  <si>
    <t>სარეზერვუარო პარკი</t>
  </si>
  <si>
    <t>I.  სადემონტაჟო  სამუშაოები</t>
  </si>
  <si>
    <t>II. სამშენებლო  სამუშაოები</t>
  </si>
  <si>
    <r>
      <t xml:space="preserve">არმატურა  </t>
    </r>
    <r>
      <rPr>
        <sz val="10"/>
        <rFont val="Calibri"/>
        <family val="2"/>
      </rPr>
      <t>Φ8A240c</t>
    </r>
  </si>
  <si>
    <t>ასფალტობეტონის საფარის დემონტაჟი</t>
  </si>
  <si>
    <t>ბეტონის საფარის დემონტაჟი</t>
  </si>
  <si>
    <t>16 მმ2-მდე კაბელების გაყვანა</t>
  </si>
  <si>
    <t>გოფრირებული მილების მონტაჟი დ-25</t>
  </si>
  <si>
    <t>კაბელი სპილენძის ორმაგი იზოლაციით N2XH 3*2.5 მმ2</t>
  </si>
  <si>
    <t>საინსტალაციო გოფრირებული ჰალოგენისგან თავისუფალი მილი PVC d=25 mm</t>
  </si>
  <si>
    <t xml:space="preserve">საშტეფსელო როზეტი 16 ამპ. დამიწების კონტაქტით </t>
  </si>
  <si>
    <t xml:space="preserve">ორ ღილაკიანი ჩამრთველი </t>
  </si>
  <si>
    <t>ერთ ღილაკიანი ჩამრთველი</t>
  </si>
  <si>
    <t>ჩარჩო ერთიანი</t>
  </si>
  <si>
    <t>ჩარჩო ორიანი</t>
  </si>
  <si>
    <t>I სამშენებლო სამუშაოები</t>
  </si>
  <si>
    <t>გრუნტის უკუჩაყრა ხელით</t>
  </si>
  <si>
    <r>
      <rPr>
        <b/>
        <sz val="10"/>
        <rFont val="AcadNusx"/>
      </rPr>
      <t xml:space="preserve"> მ</t>
    </r>
    <r>
      <rPr>
        <b/>
        <vertAlign val="superscript"/>
        <sz val="10"/>
        <rFont val="AcadNusx"/>
      </rPr>
      <t>3</t>
    </r>
  </si>
  <si>
    <t>სასიგნალო ლენტი</t>
  </si>
  <si>
    <t>გრუნტის დამუშავება ხელით, საკაბელო თხრილის მოსაწყობად</t>
  </si>
  <si>
    <t>სამონტაჟო  მასალა</t>
  </si>
  <si>
    <t xml:space="preserve">გამანაწილებელი კოლოფი </t>
  </si>
  <si>
    <t xml:space="preserve">საკომუტაციო კლემა სამ კონტაქტზე </t>
  </si>
  <si>
    <t xml:space="preserve">საკომუტაციო კლემა ხუთ კონტაქტზე </t>
  </si>
  <si>
    <t xml:space="preserve">საკომუტაციო კლემა რვა კონტაქტზე </t>
  </si>
  <si>
    <t>ორღილაკიანი ჩამრთველების მონტაჟი</t>
  </si>
  <si>
    <t>ლედ სანათი ჩაფლული მონტაჟის 12 ვატი</t>
  </si>
  <si>
    <t xml:space="preserve"> სანათების მონტაჟი</t>
  </si>
  <si>
    <t>სააპარატო კოლოფი</t>
  </si>
  <si>
    <t>ლრხ. #1-3</t>
  </si>
  <si>
    <t>ლრხ. #1-4</t>
  </si>
  <si>
    <t>დრეკადი მილი 1/2</t>
  </si>
  <si>
    <t>სამკაპი      Ø25/25</t>
  </si>
  <si>
    <r>
      <t>სამკაპი საკანალიზაციო       Ø110/110/50-45</t>
    </r>
    <r>
      <rPr>
        <vertAlign val="superscript"/>
        <sz val="10"/>
        <rFont val="Arial"/>
        <family val="2"/>
        <charset val="204"/>
      </rPr>
      <t>0</t>
    </r>
  </si>
  <si>
    <r>
      <t>მუხლი      Ø100-90</t>
    </r>
    <r>
      <rPr>
        <vertAlign val="superscript"/>
        <sz val="10"/>
        <rFont val="Arial"/>
        <family val="2"/>
        <charset val="204"/>
      </rPr>
      <t>0</t>
    </r>
  </si>
  <si>
    <r>
      <t>სამკაპი        Ø100/100-90</t>
    </r>
    <r>
      <rPr>
        <vertAlign val="superscript"/>
        <sz val="10"/>
        <rFont val="Arial"/>
        <family val="2"/>
        <charset val="204"/>
      </rPr>
      <t>0</t>
    </r>
  </si>
  <si>
    <r>
      <t>მუხლი      Ø100-45</t>
    </r>
    <r>
      <rPr>
        <vertAlign val="superscript"/>
        <sz val="10"/>
        <rFont val="Arial"/>
        <family val="2"/>
        <charset val="204"/>
      </rPr>
      <t>0</t>
    </r>
  </si>
  <si>
    <t>კანალიზაცია</t>
  </si>
  <si>
    <t>წყალმომარაგება-კანალიზაციის სამუშაოები</t>
  </si>
  <si>
    <t>ლოკალურ-რესურსული ხარჯთაღრიცხვა #1-3</t>
  </si>
  <si>
    <t>ლოკალურ-რესურსული ხარჯთაღრიცხვა #1-5</t>
  </si>
  <si>
    <t>ვენტილაცია-კონდიცირების სამუშაოები</t>
  </si>
  <si>
    <t>სამაგრი დეტალები  კონდიციონერის გარე ბლოკის სამონტაჟო</t>
  </si>
  <si>
    <t>კონდიცირება</t>
  </si>
  <si>
    <t xml:space="preserve">სპლიტ კონდიციონერი (24000BTU) </t>
  </si>
  <si>
    <r>
      <t xml:space="preserve">სპლიტ კონდიციონერი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(</t>
    </r>
    <r>
      <rPr>
        <b/>
        <sz val="11"/>
        <rFont val="Calibri"/>
        <family val="2"/>
      </rPr>
      <t>24 000 BTU)</t>
    </r>
    <r>
      <rPr>
        <sz val="11"/>
        <rFont val="Calibri"/>
        <family val="2"/>
      </rPr>
      <t xml:space="preserve">
 გარე ბლოკებით</t>
    </r>
  </si>
  <si>
    <r>
      <t xml:space="preserve">სპილენძის  მილი  იზოლაციით   </t>
    </r>
    <r>
      <rPr>
        <sz val="11"/>
        <rFont val="Calibri"/>
        <family val="2"/>
        <charset val="204"/>
      </rPr>
      <t>Ø</t>
    </r>
    <r>
      <rPr>
        <sz val="11"/>
        <rFont val="Calibri"/>
        <family val="2"/>
      </rPr>
      <t>6.35მმ</t>
    </r>
  </si>
  <si>
    <r>
      <t xml:space="preserve">გამწოვი ქოლგა 600X600 ვენტილატორით, </t>
    </r>
    <r>
      <rPr>
        <b/>
        <sz val="10"/>
        <rFont val="Arial"/>
        <family val="2"/>
        <charset val="204"/>
      </rPr>
      <t>L-300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</si>
  <si>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ქოლგა 600X600 ვენტილატორით, </t>
    </r>
    <r>
      <rPr>
        <sz val="10"/>
        <rFont val="Arial"/>
        <family val="2"/>
        <charset val="204"/>
      </rPr>
      <t>L-300 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</si>
  <si>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 ვენტილატორი, </t>
    </r>
    <r>
      <rPr>
        <b/>
        <sz val="10"/>
        <rFont val="Arial"/>
        <family val="2"/>
        <charset val="204"/>
      </rPr>
      <t>L-200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</si>
  <si>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 ვენტილატორი, </t>
    </r>
    <r>
      <rPr>
        <sz val="10"/>
        <rFont val="Arial"/>
        <family val="2"/>
        <charset val="204"/>
      </rPr>
      <t>L-200 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/h  წარმადობით და   DP80Pa წნევით</t>
    </r>
  </si>
  <si>
    <r>
      <rPr>
        <sz val="11"/>
        <rFont val="AcadNusx"/>
      </rPr>
      <t xml:space="preserve">ფულადის მოთუთიებული ჰაერსატარი </t>
    </r>
    <r>
      <rPr>
        <sz val="11"/>
        <rFont val="Acad m"/>
      </rPr>
      <t>d=0,55mm</t>
    </r>
  </si>
  <si>
    <r>
      <t xml:space="preserve">ჰაერსადენების მონტაჟი </t>
    </r>
    <r>
      <rPr>
        <b/>
        <sz val="10"/>
        <rFont val="AcadNusx"/>
      </rPr>
      <t xml:space="preserve">დიამეტრით 150 </t>
    </r>
    <r>
      <rPr>
        <b/>
        <sz val="10"/>
        <rFont val="AcadMtavr"/>
      </rPr>
      <t>მმ-6მ</t>
    </r>
  </si>
  <si>
    <t>დიფუზორების მონტაჟი დიამეტრით 150მმ</t>
  </si>
  <si>
    <t>სადრენაჟო მილსადენი პლასტმასის მილებისაგან დ-25 მმ</t>
  </si>
  <si>
    <t xml:space="preserve">  დიფუზორი  150მმ</t>
  </si>
  <si>
    <r>
      <t xml:space="preserve">პლასტმასის მილი 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გ-25 მმ </t>
    </r>
  </si>
  <si>
    <t>ბლოკი 40X10X20</t>
  </si>
  <si>
    <t>სანკვანძის ტიხრების მოწყობა სატიხრე ბლოკით 40X10X20</t>
  </si>
  <si>
    <t xml:space="preserve">სანკვანძის კედლებიდან ჩამოყრილი ნალესის  ადგილების თავიდან  შელესვა  </t>
  </si>
  <si>
    <t>სანკვანძის მდფ-ის  კარების მონტაჟი   ტიხრებში</t>
  </si>
  <si>
    <t>საღებავი წყალემულსიური</t>
  </si>
  <si>
    <t>არსებული თაბაშირმუყაოს ჭერების გადაღებვა</t>
  </si>
  <si>
    <t>ოფისის 1 ღერძზე  ღიობის გაჭრა სანკვანძის სარკმელისათვის (0.4X0.4X0.4მ)</t>
  </si>
  <si>
    <t xml:space="preserve"> არსებული კედლების  გადაღებვა </t>
  </si>
  <si>
    <t>მეტალოპლასტმასის  სარკმელის მონტაჟი</t>
  </si>
  <si>
    <t>სარკმელი მეტალოპლასტმასის</t>
  </si>
  <si>
    <r>
      <t>m</t>
    </r>
    <r>
      <rPr>
        <b/>
        <vertAlign val="superscript"/>
        <sz val="10"/>
        <rFont val="AcadNusx"/>
      </rPr>
      <t>3</t>
    </r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</si>
  <si>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10</t>
    </r>
    <r>
      <rPr>
        <sz val="10"/>
        <rFont val="Arial"/>
        <family val="2"/>
        <charset val="204"/>
      </rPr>
      <t>A500c</t>
    </r>
  </si>
  <si>
    <t>ბურულის მოწყობა პროფილირებული ფენილისაგან</t>
  </si>
  <si>
    <t xml:space="preserve">ფარდული </t>
  </si>
  <si>
    <t>ორტესებრი კოჭი №20</t>
  </si>
  <si>
    <t>შველერი №20</t>
  </si>
  <si>
    <t>მილი პროფილური  40X3</t>
  </si>
  <si>
    <t>მილი დ-450X10</t>
  </si>
  <si>
    <t>კერამოგრანიტის  ფილა ყინვაგამძლეK</t>
  </si>
  <si>
    <t>ფოლადი ფურცლოვანი  12მმ</t>
  </si>
  <si>
    <t>ფარდულის ლითონკონსტრუქციის მონტაჟი</t>
  </si>
  <si>
    <t>მან.ცვლა</t>
  </si>
  <si>
    <t>პნევმოამწე  25ტ</t>
  </si>
  <si>
    <t>ინვენტარული ხარაჩოების მოწყობა</t>
  </si>
  <si>
    <t>_</t>
  </si>
  <si>
    <t>ხარაჩოების ფოლადის დეტალები</t>
  </si>
  <si>
    <t>ხარაჩოების ხის დეტალები</t>
  </si>
  <si>
    <t>ფენილის ფარები</t>
  </si>
  <si>
    <t>შველერი №24</t>
  </si>
  <si>
    <t>საწვავის აპარატების ბაქანი</t>
  </si>
  <si>
    <r>
      <t>ბეტონის მომზადება გასაფართოებელი ბაქნის  ქვეშ , ბეტონი</t>
    </r>
    <r>
      <rPr>
        <b/>
        <sz val="10"/>
        <rFont val="Arial"/>
        <family val="2"/>
        <charset val="204"/>
      </rPr>
      <t xml:space="preserve">  B-15</t>
    </r>
  </si>
  <si>
    <t>საბურღი ჩარხი</t>
  </si>
  <si>
    <t xml:space="preserve"> ანკერებისთვის ხვრეტების მოწყობა</t>
  </si>
  <si>
    <t xml:space="preserve">ბურღები წრიული ალმასის დ-10მმ </t>
  </si>
  <si>
    <t>ქიმიური ანკერი (dasaWixni masala    310ml</t>
  </si>
  <si>
    <t>ფოლადი ფურცლოვანი  6მმ</t>
  </si>
  <si>
    <r>
      <t xml:space="preserve">არმატურა  </t>
    </r>
    <r>
      <rPr>
        <sz val="10"/>
        <rFont val="Calibri"/>
        <family val="2"/>
      </rPr>
      <t>Φ6A240c</t>
    </r>
  </si>
  <si>
    <t>მონოლითური რკინაბეტონის ფილის მოწყობა გენერატორისათვის, სისქით 20სმ</t>
  </si>
  <si>
    <r>
      <t>ბეტონის მომზადება გენერატორის ბაქნის  ქვეშ , ბეტონი</t>
    </r>
    <r>
      <rPr>
        <b/>
        <sz val="10"/>
        <rFont val="Arial"/>
        <family val="2"/>
        <charset val="204"/>
      </rPr>
      <t xml:space="preserve">  B-15</t>
    </r>
  </si>
  <si>
    <t>საწვავის აპარატების ბაქნის  მოპირკეთება კერამოგრანიტით</t>
  </si>
  <si>
    <t>საწვავის აპარატების ბაქნის  იატაკის მოჭიმვა ქვიშა-ცემენტის ხსნარით სისქით 40მმ</t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</si>
  <si>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12</t>
    </r>
    <r>
      <rPr>
        <sz val="10"/>
        <rFont val="Arial"/>
        <family val="2"/>
        <charset val="204"/>
      </rPr>
      <t>A500c</t>
    </r>
  </si>
  <si>
    <t>ლითონის ჭა</t>
  </si>
  <si>
    <t>ფოლადის ფურცელი 3მმ</t>
  </si>
  <si>
    <t xml:space="preserve">ბეტონის საფარი  სისქით 25 სმ, </t>
  </si>
  <si>
    <t>სანგრევი ჩაქუჩები</t>
  </si>
  <si>
    <t>კომპრესორი</t>
  </si>
  <si>
    <t>ქვიშა-ცემენტის ხსნარი  1:2</t>
  </si>
  <si>
    <t>შეკიდული ჭერის მოწყობა ალუმინის პანელებისაგან</t>
  </si>
  <si>
    <t>კერამოგრანიტის ფილა ყინვაგამძლე</t>
  </si>
  <si>
    <t>ალუმინის პროფილის ვიტრაჟი, ჩარჩო  RAL 9005-ის შესაბამისი ფერის. მინაპაკეტი, ორმაგი ნაწრთობი 6მმ მინით</t>
  </si>
  <si>
    <t>ავტოგრეიდერი 79კვტ</t>
  </si>
  <si>
    <t>ბულდოზერი 79კვტ</t>
  </si>
  <si>
    <r>
      <t>ექსკავატორი მუხლუხა 0.65 მ</t>
    </r>
    <r>
      <rPr>
        <vertAlign val="superscript"/>
        <sz val="10"/>
        <rFont val="AcadNusx"/>
      </rPr>
      <t>3</t>
    </r>
  </si>
  <si>
    <t>ამწე მუხლუხა 25 ტ</t>
  </si>
  <si>
    <t>ოფისის ბ-ა ღერძზე  არსებული  მეტალოპლასტმასის ვიტრაჟის დემონტაჟი-1 ცალი</t>
  </si>
  <si>
    <t>ფარდულზე და ოფისზე გალფის საფირმო პანელების    დემონტაჟი</t>
  </si>
  <si>
    <t>ტერიტორიაზე არსებული  ბორდიურების დემონტაჟი</t>
  </si>
  <si>
    <t>ბ-ა ღერძზე  კედლების დემონტაჟი</t>
  </si>
  <si>
    <t>ბეტონის  ცოკოლის  მოწყობა</t>
  </si>
  <si>
    <t>სვეტების შეფუთვა ალუმინის ფურცლებით</t>
  </si>
  <si>
    <t>წყალსაწრეტი მილების  მონტაჟი</t>
  </si>
  <si>
    <t>asfaltobetonis safaris qveS RorRovani safuZvlis mowyoba  sisqiT 12sm</t>
  </si>
  <si>
    <t>ღობის   მოპირკეთება  ბეტოპანის   ფილებით</t>
  </si>
  <si>
    <t>ბეტოპანის   ფილები 10მმ</t>
  </si>
  <si>
    <t>ტერიტორიაზე არსებული  კონტეინერული ტიპის ჯიხურის  დემონტაჟი და გატანა</t>
  </si>
  <si>
    <t>ტრალერი</t>
  </si>
  <si>
    <t>რეისი</t>
  </si>
  <si>
    <t xml:space="preserve">ავტოამწე </t>
  </si>
  <si>
    <t>მან. ცვლა</t>
  </si>
  <si>
    <t xml:space="preserve">დემონტირებული ფარდულის ფართის გაზრდა ლითონის   სიგანეში 1მ-ით , კონსტრუქციების დამატებით და სვეტების  გაზრდა სიმაღლეში 30სმ </t>
  </si>
  <si>
    <t>გალვანიზირებული პროფილირებული თუნუქი 0.7მმ</t>
  </si>
  <si>
    <t xml:space="preserve"> ფასადის კედლებიდან ნალესის  მოხსნა</t>
  </si>
  <si>
    <t>სანკვანძის კედლებიდან ნალესის  მოხსნა</t>
  </si>
  <si>
    <t>თაბაშირმუყაოს ჭერების დემონტაჟი სარეკონსტრუქციო სათავსებში</t>
  </si>
  <si>
    <t>შენობის გარშემო სარინელის მოჭიმვა ქვიშა-ცემენტის ხსნარით სისქით 40მმ</t>
  </si>
  <si>
    <t xml:space="preserve">შენობის გარშემო სარინელის  მოპირკეთება კერამოგრანიტის ფილებით </t>
  </si>
  <si>
    <t>წებო-ცემენტი ყინვაგამძლე</t>
  </si>
  <si>
    <t>ღორღის საფუძვლის მოწყობა ბეტონის საფარის ქვეშ, სისქით  40 სმ</t>
  </si>
  <si>
    <t>წებო-ცემენტი   ყინვაგამძლე</t>
  </si>
  <si>
    <t xml:space="preserve">სანკვანძში ახალი ამოშენებული ტიხრების  შელესვა  </t>
  </si>
  <si>
    <t xml:space="preserve"> სანკვანძის კედლების მოპიrკეთება კერამოგრანიტის ფილებით 2.8მ სიმაღლეზე</t>
  </si>
  <si>
    <t>ზუმფარა</t>
  </si>
  <si>
    <t>წებო  სამღებრო</t>
  </si>
  <si>
    <t>სატრანსპორტო ხარჯები</t>
  </si>
  <si>
    <t>ნავთობდამჭერი ჭების მონტაჟი</t>
  </si>
  <si>
    <r>
      <t xml:space="preserve"> მ</t>
    </r>
    <r>
      <rPr>
        <b/>
        <vertAlign val="superscript"/>
        <sz val="10"/>
        <rFont val="AcadNusx"/>
      </rPr>
      <t>3</t>
    </r>
  </si>
  <si>
    <t>ექსკავატორი 0,25</t>
  </si>
  <si>
    <t>გრუნტის დამუშავება ხელით</t>
  </si>
  <si>
    <t>ქვიშის საფუძვლის მოწყობა</t>
  </si>
  <si>
    <r>
      <t xml:space="preserve"> m</t>
    </r>
    <r>
      <rPr>
        <vertAlign val="superscript"/>
        <sz val="10"/>
        <rFont val="AcadNusx"/>
      </rPr>
      <t>3</t>
    </r>
  </si>
  <si>
    <t>პენოპლასტი 25მმ</t>
  </si>
  <si>
    <t>შიგა წალმომარაგება და კანალიზაცია</t>
  </si>
  <si>
    <t>გარე  ქსელები</t>
  </si>
  <si>
    <t>ლითონის  განათების ბოძის  მონტაჟი</t>
  </si>
  <si>
    <t>1 დგარი.</t>
  </si>
  <si>
    <t>saburRi manqana saavtomobilo svlaze</t>
  </si>
  <si>
    <t>amwe saavtomobilo svlaze 16 t-ani</t>
  </si>
  <si>
    <t>განათების ბოძი  7 მ</t>
  </si>
  <si>
    <t>ლითონის  განათების  ბოძების  დაბეტონება</t>
  </si>
  <si>
    <t>vibratori</t>
  </si>
  <si>
    <r>
      <t>ბეტონი  B</t>
    </r>
    <r>
      <rPr>
        <sz val="10"/>
        <rFont val="Arial"/>
        <family val="2"/>
        <charset val="204"/>
      </rPr>
      <t>B15</t>
    </r>
  </si>
  <si>
    <r>
      <t xml:space="preserve"> მ</t>
    </r>
    <r>
      <rPr>
        <vertAlign val="superscript"/>
        <sz val="10"/>
        <rFont val="AcadNusx"/>
      </rPr>
      <t>3</t>
    </r>
  </si>
  <si>
    <t>ლრხ. #1-5</t>
  </si>
  <si>
    <t>აგს ,,აფრიკა"</t>
  </si>
  <si>
    <t xml:space="preserve"> წყალკანალიზაციის გარე სამუშაოები</t>
  </si>
  <si>
    <t>ლრხ. #1-6</t>
  </si>
  <si>
    <t>ეზო</t>
  </si>
  <si>
    <t>ქალაქის მხრიდან შემოსასვლელში  მაღალი ბეტონის  ბორდიურის  დემონტაჟი</t>
  </si>
  <si>
    <t xml:space="preserve">შენობის გარშემო ცოკოლის მოპირკეთება კერამოგრანიტით  30 სმ </t>
  </si>
  <si>
    <t>ლითონის ფურცელი 2მმ</t>
  </si>
  <si>
    <t>საღებავი  ლითონის  მაღალი ხარისხის</t>
  </si>
  <si>
    <t>შველერი №12   -20მ</t>
  </si>
  <si>
    <t>ლითონის ცხაური-20მ</t>
  </si>
  <si>
    <t>ლითონის ფურცლის და ღარის ელემენტების  შეღებვა მაღალი ხარისხის საღებავით</t>
  </si>
  <si>
    <t>დემონტირებული  ნაკეთობების ტრანსპორტირება  ,,ეკო~-ს ბაზაში</t>
  </si>
  <si>
    <t>ავტოტრანსპორტი</t>
  </si>
  <si>
    <t>დამკვეთის შესრულება</t>
  </si>
  <si>
    <t>რეზერვუარების ყელებზე ლითონის ჭების მოწყობა  სახურავით-4 ცალი</t>
  </si>
  <si>
    <t xml:space="preserve">სამშენებლო ნაგავის გატანა ნაგავსაყრელზე </t>
  </si>
  <si>
    <t>ტერიტორიაზე არსებული  ლითონის ბადის ღობის დემონტაჟი</t>
  </si>
  <si>
    <t>ტერიტორიაზე არსებული  ლითონის ბადის ღობის ცოკოლის დემონტაჟი</t>
  </si>
  <si>
    <t>ასფალტობეტონისა და ბეტონის საფარის ქვეშ არსებული  ხრეშის  საფუძვლების დემონტაჟი</t>
  </si>
  <si>
    <t>სამშენებლო ნაგვის დატვირთვა ავტოთვითმცლელებზე  დამტვირთველით</t>
  </si>
  <si>
    <t>დემონტირებული  ნაკეთობების დატვირთვა სატრანსპორტო საშუალებებზე  ხელით</t>
  </si>
  <si>
    <t>გალვანიზირებული  თუნუქის ფურცელი 0.7</t>
  </si>
  <si>
    <t>მაღაზიაში  კედლების მოპირკეთება აგურით</t>
  </si>
  <si>
    <t xml:space="preserve"> მანქანები</t>
  </si>
  <si>
    <t>პროფილური მილი 20X20X1.5</t>
  </si>
  <si>
    <t>გალფის საფირმო პანელების მონტაჟი</t>
  </si>
  <si>
    <t>შენობის გარშემო სარინელის ქვეშ ბეტონის არმირებული საფუძვლის მოწყობა სისქით 80მმ</t>
  </si>
  <si>
    <t>სარეკონსტრუქციო სათავსის დარჩენილი კედლდან ნალესის  მოხსნა</t>
  </si>
  <si>
    <t>ფასადის ნალესჩამოყრილი  და ახალამოშენებული  შელესვა ქვიშა-ცემენტის ხსნარით</t>
  </si>
  <si>
    <t xml:space="preserve"> შიგა ახალშელესილი კედლების  შეღებვა </t>
  </si>
  <si>
    <t>ფასადის შეღებვა ფასადის  საღებავით</t>
  </si>
  <si>
    <t xml:space="preserve">საღებავი  ფასადის </t>
  </si>
  <si>
    <t>გრუნტოვკა</t>
  </si>
  <si>
    <t xml:space="preserve"> ახალი სათავსოს კედლის ამოშენება წვრილი სამშენებლო ბლოკით</t>
  </si>
  <si>
    <t>ახალი სათავსოს მონოლითური რკინაბეტონის გადახურვის ფილის მოწყობა</t>
  </si>
  <si>
    <t xml:space="preserve"> ახალი ამოშენებული კედლების შელესვა  შიგა მხრიდან, შიგა ნალესჩამოყრილი  კედლების და  ტიხრის შელესვა</t>
  </si>
  <si>
    <t>სანკვანძის ჭერის მოწყობა ნესტგამძლე თაბაშირმუყაოს ფილებისაგან</t>
  </si>
  <si>
    <t>არმირების ბადე 6მმ</t>
  </si>
  <si>
    <t>ბაქნის გარშემო  დაქცეული საწვავის საწრეტი ლითონის ღარის  მოწყობა- 19.44მ</t>
  </si>
  <si>
    <t>ბაქნის გარშემო ლითონის ფურცლის შემოკვრა-17.7მ</t>
  </si>
  <si>
    <t>ბაქნის გაფართოება მონოლითური რკინაბეტონის ფილის მოწყობით  სისქით  20სმ</t>
  </si>
  <si>
    <r>
      <t>ბეტონის მომზადება , ბეტონი</t>
    </r>
    <r>
      <rPr>
        <b/>
        <sz val="10"/>
        <rFont val="Arial"/>
        <family val="2"/>
        <charset val="204"/>
      </rPr>
      <t xml:space="preserve">  B-15</t>
    </r>
  </si>
  <si>
    <t>asfaltobetonis safaris qveS ქვიშა-ხრეშოვანი  safuZvlis mowyoba  sisqiT 28sm</t>
  </si>
  <si>
    <r>
      <t xml:space="preserve">cxaurა </t>
    </r>
    <r>
      <rPr>
        <sz val="11"/>
        <rFont val="Calibri"/>
        <family val="2"/>
        <charset val="204"/>
      </rPr>
      <t>D200</t>
    </r>
  </si>
  <si>
    <t>სანკვანძის თაბაშირმუყაოს ჭერის შეღებვა</t>
  </si>
  <si>
    <t>მილი პროფილური  10X40X2</t>
  </si>
  <si>
    <t>პროფილური მილი 40X3</t>
  </si>
  <si>
    <t>პროფილური მილი 80X3</t>
  </si>
  <si>
    <t>,, გალფის"   ავტოგასამართი სადგურის სარეკონსტრუქციო სამუშაოები</t>
  </si>
  <si>
    <t>დამტვირთველი</t>
  </si>
  <si>
    <t>სამშენებლო ნაგავის გატანა ნაგავსაყრელზე  10კმ</t>
  </si>
  <si>
    <t>,, გალფის"   ავტოგასამართი სადგური  ,,afrika~-s სარეკონსტრუქციო სამუშაოების</t>
  </si>
  <si>
    <t>დროებითი  ღობე და უსაფრთხოების სხვა ღონისძიებები 1.5%</t>
  </si>
  <si>
    <t>ლითონის ფურცელი 1მმ</t>
  </si>
  <si>
    <t>უნიტაზის გოფრირებული მილი</t>
  </si>
  <si>
    <t>ხელსაბანის სიფონი</t>
  </si>
  <si>
    <t>ვენტილი  1/2 90 გრადუსის</t>
  </si>
  <si>
    <r>
      <t xml:space="preserve">ნავთობის კასრი </t>
    </r>
    <r>
      <rPr>
        <sz val="11"/>
        <rFont val="Calibri"/>
        <family val="2"/>
        <charset val="204"/>
      </rPr>
      <t>Ø</t>
    </r>
    <r>
      <rPr>
        <sz val="11"/>
        <rFont val="Arial"/>
        <family val="2"/>
        <charset val="204"/>
      </rPr>
      <t>400  H400</t>
    </r>
  </si>
  <si>
    <t>სამკაპი 110/110/110</t>
  </si>
  <si>
    <t xml:space="preserve"> msxvilmarcvlovani asfaltobetonis safaris mowyoba (qveda fena 60mm)</t>
  </si>
  <si>
    <t xml:space="preserve"> wvrilmarcvlovani asfaltobetonis safaris mowyoba (zeda fena 40mm)</t>
  </si>
  <si>
    <t>კრებსითი სახარჯთაღრიცხვო გაანგარიშება #1</t>
  </si>
  <si>
    <r>
      <t xml:space="preserve">სპილენძის მილი  მილი  იზოლაციით   </t>
    </r>
    <r>
      <rPr>
        <sz val="11"/>
        <rFont val="Calibri"/>
        <family val="2"/>
        <charset val="204"/>
      </rPr>
      <t>Ø</t>
    </r>
    <r>
      <rPr>
        <sz val="11"/>
        <rFont val="Calibri"/>
        <family val="2"/>
      </rPr>
      <t>12.7მმ</t>
    </r>
  </si>
  <si>
    <r>
      <t>მე-III ჯგუფის გრუნტის დამუშავება 0.25მ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>-იანი ექსკავატორით, ნაყარში დატოვებით, შემდგომში  უკუჩაყრით</t>
    </r>
  </si>
  <si>
    <t>იატაკის  საფარის დემონტაჟი</t>
  </si>
  <si>
    <t>იატაკის მოჭიმვის მოხსნა</t>
  </si>
  <si>
    <t>ფასადის კედლების ,,დაშხეფვა~ ქვიშა-ცემენტის ხსნარით</t>
  </si>
  <si>
    <r>
      <t>m</t>
    </r>
    <r>
      <rPr>
        <b/>
        <vertAlign val="superscript"/>
        <sz val="9"/>
        <color indexed="8"/>
        <rFont val="AcadNusx"/>
      </rPr>
      <t>2</t>
    </r>
  </si>
  <si>
    <t>tona</t>
  </si>
  <si>
    <r>
      <t>m</t>
    </r>
    <r>
      <rPr>
        <vertAlign val="superscript"/>
        <sz val="9"/>
        <color indexed="8"/>
        <rFont val="AcadNusx"/>
      </rPr>
      <t>3</t>
    </r>
  </si>
  <si>
    <t>წებო  პვა</t>
  </si>
  <si>
    <t>ფოლადის ფურცელი 6მმ</t>
  </si>
  <si>
    <t>აგური მოსაპირკეთებელი თელავის</t>
  </si>
  <si>
    <t xml:space="preserve"> იატაკის მოჭიმვა ქვიშა-ცემენტის ხსნარით სისქით 40მმ</t>
  </si>
  <si>
    <t xml:space="preserve">იატაკების მოწყობა კერამოგრანიტის ფილებით </t>
  </si>
  <si>
    <r>
      <t xml:space="preserve">კერამოგრანიტის ფილა (ბრენდი: </t>
    </r>
    <r>
      <rPr>
        <sz val="10"/>
        <rFont val="Arial"/>
        <family val="2"/>
        <charset val="204"/>
      </rPr>
      <t>Seranova CEMENT ANTRACIT 60X60)</t>
    </r>
  </si>
  <si>
    <r>
      <t xml:space="preserve">კერამოგრანიტის ფილა (ბრენდი: </t>
    </r>
    <r>
      <rPr>
        <sz val="10"/>
        <rFont val="Arial"/>
        <family val="2"/>
        <charset val="204"/>
      </rPr>
      <t>Nordic Gold GS-D3650/15X60)</t>
    </r>
  </si>
  <si>
    <t>ქურო</t>
  </si>
  <si>
    <r>
      <t>კერამოგრანიტის  ფილა</t>
    </r>
    <r>
      <rPr>
        <sz val="10"/>
        <rFont val="Arial"/>
        <family val="2"/>
        <charset val="204"/>
      </rPr>
      <t xml:space="preserve">  (ბრენდი:Seranova Rapsody White/30X60K)</t>
    </r>
  </si>
  <si>
    <t>მდფ-ის  კარები (0.80X2.2)მ-შპს ,,იფანი"</t>
  </si>
  <si>
    <t>ამსტრონგის ჭერის შეღებვა შავად</t>
  </si>
  <si>
    <r>
      <t xml:space="preserve">ხელსაბანი მოკლე ფეხით </t>
    </r>
    <r>
      <rPr>
        <sz val="10"/>
        <rFont val="Arial"/>
        <family val="2"/>
        <charset val="204"/>
      </rPr>
      <t>Vitra</t>
    </r>
  </si>
  <si>
    <r>
      <t xml:space="preserve">უნიტაზი  </t>
    </r>
    <r>
      <rPr>
        <sz val="11"/>
        <rFont val="Arial"/>
        <family val="2"/>
        <charset val="204"/>
      </rPr>
      <t>Vitra</t>
    </r>
  </si>
  <si>
    <t>მილსადენი პ/ე მილებისაგან დ-100 მმ</t>
  </si>
  <si>
    <r>
      <t xml:space="preserve">მილი პ/ე </t>
    </r>
    <r>
      <rPr>
        <sz val="11"/>
        <rFont val="Calibri"/>
        <family val="2"/>
        <charset val="204"/>
      </rPr>
      <t>Ø100</t>
    </r>
  </si>
  <si>
    <r>
      <t>ხელსაბნის შემრევი</t>
    </r>
    <r>
      <rPr>
        <sz val="10"/>
        <rFont val="Arial"/>
        <family val="2"/>
        <charset val="204"/>
      </rPr>
      <t xml:space="preserve"> Hansgrohe
Logis Loop 70 71150000</t>
    </r>
  </si>
  <si>
    <t>ელექტრო წყალტევადობითი გამაცხელებელი   Ariston - PRO1 R 80L</t>
  </si>
  <si>
    <t>მილი პლასიმასის დ-100მმ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</si>
</sst>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0.0"/>
    <numFmt numFmtId="168" formatCode="0.0000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#,##0_р_."/>
    <numFmt numFmtId="172" formatCode="#,##0.000"/>
    <numFmt numFmtId="173" formatCode="#,##0.00_р_."/>
    <numFmt numFmtId="174" formatCode="0.0%"/>
    <numFmt numFmtId="175" formatCode="_(* #,##0_);_(* \(#,##0\);_(* &quot;-&quot;??_);_(@_)"/>
    <numFmt numFmtId="176" formatCode="#,##0.000_р_."/>
    <numFmt numFmtId="177" formatCode="#,##0.0000_р_."/>
  </numFmts>
  <fonts count="102">
    <font>
      <sz val="11"/>
      <color theme="1"/>
      <name val="Calibri"/>
      <charset val="134"/>
      <scheme val="minor"/>
    </font>
    <font>
      <sz val="10"/>
      <name val="Helv"/>
      <charset val="13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cadNusx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cadNusx"/>
    </font>
    <font>
      <b/>
      <sz val="12"/>
      <name val="AcadNusx"/>
    </font>
    <font>
      <b/>
      <sz val="14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  <charset val="204"/>
    </font>
    <font>
      <u/>
      <sz val="10"/>
      <name val="AcadNusx"/>
    </font>
    <font>
      <b/>
      <sz val="11"/>
      <name val="Calibri"/>
      <family val="2"/>
      <charset val="204"/>
      <scheme val="minor"/>
    </font>
    <font>
      <sz val="9"/>
      <name val="AcadNusx"/>
    </font>
    <font>
      <sz val="10"/>
      <name val="Arial Cyr"/>
      <charset val="204"/>
    </font>
    <font>
      <sz val="10"/>
      <name val="Calibri"/>
      <family val="2"/>
      <charset val="204"/>
    </font>
    <font>
      <sz val="11"/>
      <name val="Sylfaen"/>
      <family val="1"/>
      <charset val="204"/>
    </font>
    <font>
      <sz val="10"/>
      <color rgb="FFFF0000"/>
      <name val="AcadNusx"/>
    </font>
    <font>
      <sz val="11"/>
      <color rgb="FFFF0000"/>
      <name val="Calibri"/>
      <family val="2"/>
      <charset val="204"/>
      <scheme val="minor"/>
    </font>
    <font>
      <sz val="11"/>
      <color rgb="FFFF0000"/>
      <name val="AcadNusx"/>
    </font>
    <font>
      <b/>
      <sz val="11"/>
      <name val="Avaza Mtavruli"/>
      <family val="2"/>
    </font>
    <font>
      <sz val="11"/>
      <name val="Avaza Mtavruli"/>
      <family val="2"/>
    </font>
    <font>
      <sz val="10"/>
      <name val="Avaza Mtavruli"/>
      <family val="2"/>
    </font>
    <font>
      <sz val="14"/>
      <name val="AcadNusx"/>
    </font>
    <font>
      <b/>
      <sz val="10"/>
      <name val="Avaza Mtavruli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cadMtavr"/>
    </font>
    <font>
      <sz val="10"/>
      <color theme="1"/>
      <name val="AcadNusx"/>
    </font>
    <font>
      <i/>
      <sz val="10"/>
      <name val="AcadNusx"/>
    </font>
    <font>
      <sz val="12"/>
      <name val="AcadMtav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Sylfaen"/>
      <family val="1"/>
      <charset val="204"/>
    </font>
    <font>
      <sz val="12"/>
      <name val="AcadNusx"/>
    </font>
    <font>
      <b/>
      <sz val="10"/>
      <name val="AcadMtav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0"/>
      <name val="AcadNusx"/>
    </font>
    <font>
      <b/>
      <sz val="11"/>
      <color rgb="FFFF0000"/>
      <name val="AcadNusx"/>
    </font>
    <font>
      <b/>
      <sz val="10"/>
      <name val="Times New Roman"/>
      <family val="1"/>
      <charset val="204"/>
    </font>
    <font>
      <sz val="11"/>
      <color indexed="8"/>
      <name val="AcadNusx"/>
    </font>
    <font>
      <b/>
      <sz val="12"/>
      <color indexed="8"/>
      <name val="AcadNusx"/>
    </font>
    <font>
      <b/>
      <sz val="14"/>
      <color indexed="8"/>
      <name val="AcadNusx"/>
    </font>
    <font>
      <b/>
      <sz val="11"/>
      <color indexed="8"/>
      <name val="AcadNusx"/>
    </font>
    <font>
      <sz val="11"/>
      <color indexed="10"/>
      <name val="AcadNusx"/>
    </font>
    <font>
      <sz val="14"/>
      <color indexed="8"/>
      <name val="AcadNusx"/>
    </font>
    <font>
      <b/>
      <sz val="16"/>
      <color indexed="8"/>
      <name val="AcadNusx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ChveuNusx"/>
    </font>
    <font>
      <u/>
      <sz val="10"/>
      <color indexed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134"/>
    </font>
    <font>
      <sz val="11"/>
      <name val="Times New Roman"/>
      <family val="1"/>
      <charset val="204"/>
    </font>
    <font>
      <b/>
      <vertAlign val="superscript"/>
      <sz val="10"/>
      <name val="AcadNusx"/>
    </font>
    <font>
      <vertAlign val="superscript"/>
      <sz val="10"/>
      <name val="AcadNusx"/>
    </font>
    <font>
      <i/>
      <sz val="10"/>
      <name val="Calibri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10"/>
      <name val="AcadMtavr"/>
    </font>
    <font>
      <sz val="11"/>
      <name val="Avaz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rgb="FF002060"/>
      <name val="AcadNusx"/>
    </font>
    <font>
      <sz val="11"/>
      <color theme="1"/>
      <name val="Avaza Mtavruli"/>
      <family val="2"/>
    </font>
    <font>
      <sz val="11"/>
      <color theme="1"/>
      <name val="AcadNusx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cad m"/>
    </font>
    <font>
      <sz val="11"/>
      <name val="Arial"/>
      <family val="2"/>
    </font>
    <font>
      <b/>
      <sz val="9"/>
      <name val="Sylfaen"/>
      <family val="1"/>
      <charset val="204"/>
    </font>
    <font>
      <b/>
      <sz val="9"/>
      <color theme="1"/>
      <name val="AcadNusx"/>
    </font>
    <font>
      <b/>
      <vertAlign val="superscript"/>
      <sz val="9"/>
      <color indexed="8"/>
      <name val="AcadNusx"/>
    </font>
    <font>
      <sz val="9"/>
      <color theme="1"/>
      <name val="Calibri"/>
      <family val="2"/>
      <scheme val="minor"/>
    </font>
    <font>
      <sz val="9"/>
      <color theme="1"/>
      <name val="AcadNusx"/>
    </font>
    <font>
      <vertAlign val="superscript"/>
      <sz val="9"/>
      <color indexed="8"/>
      <name val="AcadNusx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43" fontId="57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7" fillId="0" borderId="0"/>
    <xf numFmtId="0" fontId="57" fillId="0" borderId="0"/>
    <xf numFmtId="44" fontId="5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7" fillId="0" borderId="0"/>
    <xf numFmtId="170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57" fillId="0" borderId="0"/>
    <xf numFmtId="0" fontId="14" fillId="0" borderId="0"/>
    <xf numFmtId="0" fontId="57" fillId="0" borderId="0"/>
    <xf numFmtId="0" fontId="1" fillId="0" borderId="0"/>
    <xf numFmtId="0" fontId="57" fillId="0" borderId="0"/>
    <xf numFmtId="0" fontId="10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64" fillId="0" borderId="0"/>
    <xf numFmtId="0" fontId="57" fillId="0" borderId="0"/>
    <xf numFmtId="0" fontId="10" fillId="0" borderId="0"/>
    <xf numFmtId="0" fontId="61" fillId="0" borderId="0"/>
    <xf numFmtId="0" fontId="57" fillId="0" borderId="0"/>
    <xf numFmtId="0" fontId="57" fillId="0" borderId="0"/>
    <xf numFmtId="0" fontId="6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0" fillId="0" borderId="0"/>
    <xf numFmtId="0" fontId="14" fillId="0" borderId="0"/>
    <xf numFmtId="0" fontId="57" fillId="0" borderId="0"/>
    <xf numFmtId="0" fontId="65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66" fillId="0" borderId="0"/>
    <xf numFmtId="0" fontId="59" fillId="0" borderId="0"/>
    <xf numFmtId="0" fontId="67" fillId="0" borderId="0"/>
    <xf numFmtId="9" fontId="14" fillId="0" borderId="0" applyFont="0" applyFill="0" applyBorder="0" applyAlignment="0" applyProtection="0"/>
    <xf numFmtId="0" fontId="1" fillId="0" borderId="0"/>
    <xf numFmtId="0" fontId="58" fillId="0" borderId="0"/>
    <xf numFmtId="0" fontId="14" fillId="0" borderId="0"/>
    <xf numFmtId="0" fontId="60" fillId="0" borderId="0"/>
    <xf numFmtId="0" fontId="23" fillId="0" borderId="0"/>
    <xf numFmtId="0" fontId="10" fillId="0" borderId="0"/>
    <xf numFmtId="0" fontId="10" fillId="0" borderId="0"/>
  </cellStyleXfs>
  <cellXfs count="1112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1" xfId="38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5" fillId="2" borderId="1" xfId="38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0" fontId="5" fillId="0" borderId="0" xfId="0" applyFont="1" applyFill="1"/>
    <xf numFmtId="0" fontId="36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14" fillId="2" borderId="0" xfId="25" applyFont="1" applyFill="1" applyAlignment="1">
      <alignment horizontal="left"/>
    </xf>
    <xf numFmtId="0" fontId="2" fillId="2" borderId="0" xfId="25" applyFont="1" applyFill="1"/>
    <xf numFmtId="0" fontId="7" fillId="2" borderId="0" xfId="38" applyFont="1" applyFill="1" applyAlignment="1">
      <alignment horizontal="center" wrapText="1"/>
    </xf>
    <xf numFmtId="0" fontId="7" fillId="2" borderId="0" xfId="38" applyFont="1" applyFill="1" applyAlignment="1">
      <alignment wrapText="1"/>
    </xf>
    <xf numFmtId="0" fontId="14" fillId="2" borderId="0" xfId="25" applyFont="1" applyFill="1"/>
    <xf numFmtId="0" fontId="42" fillId="2" borderId="0" xfId="38" applyFont="1" applyFill="1" applyAlignment="1">
      <alignment horizontal="left" wrapText="1"/>
    </xf>
    <xf numFmtId="172" fontId="7" fillId="2" borderId="0" xfId="38" applyNumberFormat="1" applyFont="1" applyFill="1" applyBorder="1" applyAlignment="1">
      <alignment horizontal="center" wrapText="1"/>
    </xf>
    <xf numFmtId="2" fontId="7" fillId="2" borderId="0" xfId="38" applyNumberFormat="1" applyFont="1" applyFill="1" applyBorder="1" applyAlignment="1">
      <alignment horizontal="center" wrapText="1"/>
    </xf>
    <xf numFmtId="0" fontId="7" fillId="2" borderId="11" xfId="38" applyFont="1" applyFill="1" applyBorder="1" applyAlignment="1">
      <alignment horizontal="right" wrapText="1"/>
    </xf>
    <xf numFmtId="166" fontId="7" fillId="2" borderId="11" xfId="38" applyNumberFormat="1" applyFont="1" applyFill="1" applyBorder="1" applyAlignment="1">
      <alignment horizontal="center" wrapText="1"/>
    </xf>
    <xf numFmtId="2" fontId="7" fillId="2" borderId="11" xfId="38" applyNumberFormat="1" applyFont="1" applyFill="1" applyBorder="1" applyAlignment="1">
      <alignment horizontal="center" wrapText="1"/>
    </xf>
    <xf numFmtId="0" fontId="7" fillId="2" borderId="5" xfId="38" applyFont="1" applyFill="1" applyBorder="1" applyAlignment="1">
      <alignment horizontal="center" wrapText="1"/>
    </xf>
    <xf numFmtId="0" fontId="7" fillId="2" borderId="1" xfId="38" applyFont="1" applyFill="1" applyBorder="1" applyAlignment="1">
      <alignment horizontal="center" wrapText="1"/>
    </xf>
    <xf numFmtId="0" fontId="7" fillId="2" borderId="6" xfId="38" applyFont="1" applyFill="1" applyBorder="1" applyAlignment="1">
      <alignment horizontal="center" wrapText="1"/>
    </xf>
    <xf numFmtId="0" fontId="11" fillId="2" borderId="1" xfId="34" applyFont="1" applyFill="1" applyBorder="1" applyAlignment="1">
      <alignment horizontal="left" vertical="center" wrapText="1"/>
    </xf>
    <xf numFmtId="4" fontId="7" fillId="2" borderId="1" xfId="38" applyNumberFormat="1" applyFont="1" applyFill="1" applyBorder="1" applyAlignment="1">
      <alignment horizontal="center" vertical="center"/>
    </xf>
    <xf numFmtId="4" fontId="7" fillId="2" borderId="1" xfId="38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/>
    <xf numFmtId="0" fontId="2" fillId="0" borderId="0" xfId="34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2" fontId="14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2" fontId="15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55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4" fillId="2" borderId="0" xfId="38" applyFont="1" applyFill="1" applyAlignment="1">
      <alignment vertical="center"/>
    </xf>
    <xf numFmtId="0" fontId="14" fillId="2" borderId="0" xfId="35" applyFont="1" applyFill="1" applyAlignment="1">
      <alignment vertical="center"/>
    </xf>
    <xf numFmtId="0" fontId="11" fillId="2" borderId="6" xfId="34" applyFont="1" applyFill="1" applyBorder="1" applyAlignment="1">
      <alignment horizontal="left" vertical="center" wrapText="1"/>
    </xf>
    <xf numFmtId="0" fontId="15" fillId="2" borderId="1" xfId="38" applyFont="1" applyFill="1" applyBorder="1" applyAlignment="1">
      <alignment vertical="center" wrapText="1"/>
    </xf>
    <xf numFmtId="4" fontId="15" fillId="2" borderId="1" xfId="38" applyNumberFormat="1" applyFont="1" applyFill="1" applyBorder="1" applyAlignment="1">
      <alignment horizontal="center" vertical="center" wrapText="1"/>
    </xf>
    <xf numFmtId="0" fontId="22" fillId="2" borderId="0" xfId="63" applyFont="1" applyFill="1" applyBorder="1"/>
    <xf numFmtId="0" fontId="22" fillId="2" borderId="0" xfId="63" applyFont="1" applyFill="1"/>
    <xf numFmtId="0" fontId="50" fillId="0" borderId="0" xfId="32" applyFont="1" applyAlignment="1">
      <alignment vertical="center"/>
    </xf>
    <xf numFmtId="0" fontId="52" fillId="0" borderId="0" xfId="32" applyFont="1" applyAlignment="1">
      <alignment horizontal="center" vertical="center"/>
    </xf>
    <xf numFmtId="0" fontId="51" fillId="0" borderId="0" xfId="32" applyFont="1" applyAlignment="1">
      <alignment horizontal="center" vertical="center"/>
    </xf>
    <xf numFmtId="4" fontId="53" fillId="0" borderId="0" xfId="32" applyNumberFormat="1" applyFont="1" applyAlignment="1">
      <alignment horizontal="center" vertical="center"/>
    </xf>
    <xf numFmtId="0" fontId="51" fillId="0" borderId="0" xfId="32" applyFont="1" applyAlignment="1">
      <alignment vertical="center"/>
    </xf>
    <xf numFmtId="0" fontId="52" fillId="0" borderId="0" xfId="32" applyFont="1" applyAlignment="1">
      <alignment vertical="center"/>
    </xf>
    <xf numFmtId="0" fontId="28" fillId="0" borderId="0" xfId="32" applyFont="1" applyAlignment="1">
      <alignment vertical="center" wrapText="1"/>
    </xf>
    <xf numFmtId="167" fontId="54" fillId="0" borderId="0" xfId="32" applyNumberFormat="1" applyFont="1" applyAlignment="1">
      <alignment vertical="center"/>
    </xf>
    <xf numFmtId="0" fontId="50" fillId="0" borderId="0" xfId="64" applyFont="1" applyAlignment="1">
      <alignment vertical="center"/>
    </xf>
    <xf numFmtId="0" fontId="50" fillId="0" borderId="0" xfId="64" applyFont="1" applyAlignment="1">
      <alignment horizontal="center" vertical="center"/>
    </xf>
    <xf numFmtId="0" fontId="56" fillId="0" borderId="0" xfId="64" applyFont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7" fillId="0" borderId="1" xfId="33" applyFont="1" applyFill="1" applyBorder="1" applyAlignment="1">
      <alignment horizontal="left" vertical="center" wrapText="1"/>
    </xf>
    <xf numFmtId="0" fontId="44" fillId="0" borderId="1" xfId="0" applyFont="1" applyFill="1" applyBorder="1"/>
    <xf numFmtId="166" fontId="6" fillId="0" borderId="1" xfId="65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7" fontId="7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15" fillId="0" borderId="1" xfId="35" applyFont="1" applyFill="1" applyBorder="1" applyAlignment="1">
      <alignment horizontal="center"/>
    </xf>
    <xf numFmtId="0" fontId="7" fillId="0" borderId="1" xfId="63" applyFont="1" applyFill="1" applyBorder="1" applyAlignment="1">
      <alignment horizontal="center" vertical="center"/>
    </xf>
    <xf numFmtId="4" fontId="7" fillId="0" borderId="1" xfId="63" applyNumberFormat="1" applyFont="1" applyFill="1" applyBorder="1" applyAlignment="1">
      <alignment horizontal="center" vertical="center" wrapText="1"/>
    </xf>
    <xf numFmtId="4" fontId="15" fillId="0" borderId="1" xfId="63" applyNumberFormat="1" applyFont="1" applyFill="1" applyBorder="1" applyAlignment="1">
      <alignment horizontal="center" vertical="center" wrapText="1"/>
    </xf>
    <xf numFmtId="4" fontId="15" fillId="0" borderId="1" xfId="63" applyNumberFormat="1" applyFont="1" applyFill="1" applyBorder="1" applyAlignment="1">
      <alignment horizontal="center" vertical="center"/>
    </xf>
    <xf numFmtId="0" fontId="15" fillId="0" borderId="1" xfId="63" applyFont="1" applyFill="1" applyBorder="1" applyAlignment="1">
      <alignment horizontal="left" vertical="center" wrapText="1"/>
    </xf>
    <xf numFmtId="0" fontId="1" fillId="0" borderId="1" xfId="27" applyFont="1" applyFill="1" applyBorder="1" applyAlignment="1">
      <alignment wrapText="1"/>
    </xf>
    <xf numFmtId="0" fontId="7" fillId="0" borderId="1" xfId="63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33" applyFont="1" applyFill="1" applyBorder="1" applyAlignment="1">
      <alignment vertical="center" wrapText="1"/>
    </xf>
    <xf numFmtId="0" fontId="7" fillId="0" borderId="1" xfId="33" applyFont="1" applyFill="1" applyBorder="1" applyAlignment="1">
      <alignment horizontal="center" vertical="center" wrapText="1"/>
    </xf>
    <xf numFmtId="0" fontId="7" fillId="0" borderId="1" xfId="33" applyNumberFormat="1" applyFont="1" applyFill="1" applyBorder="1" applyAlignment="1">
      <alignment horizontal="center" vertical="center" wrapText="1"/>
    </xf>
    <xf numFmtId="166" fontId="7" fillId="0" borderId="1" xfId="33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9" fontId="15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1" xfId="33" applyNumberFormat="1" applyFont="1" applyFill="1" applyBorder="1" applyAlignment="1">
      <alignment horizontal="center" vertical="center"/>
    </xf>
    <xf numFmtId="166" fontId="7" fillId="0" borderId="1" xfId="33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0" fontId="15" fillId="0" borderId="1" xfId="25" applyFont="1" applyFill="1" applyBorder="1" applyAlignment="1">
      <alignment horizontal="center" vertical="center" wrapText="1"/>
    </xf>
    <xf numFmtId="2" fontId="7" fillId="0" borderId="1" xfId="25" applyNumberFormat="1" applyFont="1" applyFill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1" xfId="23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2" fontId="6" fillId="0" borderId="1" xfId="0" applyNumberFormat="1" applyFont="1" applyFill="1" applyBorder="1" applyAlignment="1">
      <alignment vertical="center"/>
    </xf>
    <xf numFmtId="0" fontId="7" fillId="0" borderId="1" xfId="33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/>
    </xf>
    <xf numFmtId="166" fontId="7" fillId="0" borderId="1" xfId="55" applyNumberFormat="1" applyFont="1" applyFill="1" applyBorder="1" applyAlignment="1">
      <alignment horizontal="center" vertical="center" wrapText="1"/>
    </xf>
    <xf numFmtId="2" fontId="7" fillId="0" borderId="1" xfId="55" applyNumberFormat="1" applyFont="1" applyFill="1" applyBorder="1" applyAlignment="1">
      <alignment vertical="center"/>
    </xf>
    <xf numFmtId="166" fontId="7" fillId="0" borderId="1" xfId="55" applyNumberFormat="1" applyFont="1" applyFill="1" applyBorder="1" applyAlignment="1">
      <alignment vertical="center"/>
    </xf>
    <xf numFmtId="0" fontId="7" fillId="0" borderId="1" xfId="55" applyNumberFormat="1" applyFont="1" applyFill="1" applyBorder="1" applyAlignment="1">
      <alignment horizontal="center" vertical="center"/>
    </xf>
    <xf numFmtId="166" fontId="7" fillId="0" borderId="1" xfId="5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>
      <alignment vertical="center" wrapText="1"/>
    </xf>
    <xf numFmtId="0" fontId="49" fillId="0" borderId="1" xfId="65" applyNumberFormat="1" applyFont="1" applyFill="1" applyBorder="1" applyAlignment="1">
      <alignment horizontal="center" vertical="center" wrapText="1"/>
    </xf>
    <xf numFmtId="166" fontId="8" fillId="0" borderId="1" xfId="65" applyNumberFormat="1" applyFont="1" applyFill="1" applyBorder="1" applyAlignment="1">
      <alignment horizontal="center" vertical="center" wrapText="1"/>
    </xf>
    <xf numFmtId="2" fontId="8" fillId="0" borderId="1" xfId="6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65" applyNumberFormat="1" applyFont="1" applyFill="1" applyBorder="1" applyAlignment="1">
      <alignment horizontal="center" vertical="center" wrapText="1"/>
    </xf>
    <xf numFmtId="2" fontId="6" fillId="0" borderId="1" xfId="65" applyNumberFormat="1" applyFont="1" applyFill="1" applyBorder="1" applyAlignment="1">
      <alignment horizontal="center" vertical="center" wrapText="1"/>
    </xf>
    <xf numFmtId="0" fontId="15" fillId="0" borderId="1" xfId="65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vertical="center" wrapText="1"/>
    </xf>
    <xf numFmtId="0" fontId="10" fillId="0" borderId="1" xfId="33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 wrapText="1"/>
    </xf>
    <xf numFmtId="166" fontId="15" fillId="0" borderId="0" xfId="0" applyNumberFormat="1" applyFont="1" applyFill="1" applyAlignment="1">
      <alignment vertical="center" wrapText="1"/>
    </xf>
    <xf numFmtId="166" fontId="15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" xfId="35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/>
    <xf numFmtId="0" fontId="13" fillId="0" borderId="0" xfId="0" applyFont="1" applyFill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2" fontId="10" fillId="0" borderId="1" xfId="0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46" applyFont="1" applyFill="1" applyBorder="1" applyAlignment="1">
      <alignment horizontal="center" vertical="center" wrapText="1"/>
    </xf>
    <xf numFmtId="2" fontId="7" fillId="0" borderId="1" xfId="35" applyNumberFormat="1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left" vertical="center" wrapText="1"/>
    </xf>
    <xf numFmtId="0" fontId="7" fillId="0" borderId="1" xfId="35" applyFont="1" applyFill="1" applyBorder="1" applyAlignment="1">
      <alignment horizontal="center"/>
    </xf>
    <xf numFmtId="2" fontId="7" fillId="0" borderId="1" xfId="35" applyNumberFormat="1" applyFont="1" applyFill="1" applyBorder="1" applyAlignment="1">
      <alignment horizontal="center"/>
    </xf>
    <xf numFmtId="0" fontId="46" fillId="0" borderId="1" xfId="0" applyFont="1" applyFill="1" applyBorder="1"/>
    <xf numFmtId="0" fontId="10" fillId="0" borderId="1" xfId="0" applyFont="1" applyFill="1" applyBorder="1"/>
    <xf numFmtId="0" fontId="31" fillId="0" borderId="1" xfId="0" applyFont="1" applyFill="1" applyBorder="1" applyAlignment="1">
      <alignment horizontal="center" vertical="center"/>
    </xf>
    <xf numFmtId="0" fontId="7" fillId="0" borderId="1" xfId="23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2" fontId="7" fillId="0" borderId="1" xfId="23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36" applyFont="1" applyFill="1" applyBorder="1" applyAlignment="1">
      <alignment horizontal="center" vertical="center"/>
    </xf>
    <xf numFmtId="0" fontId="7" fillId="0" borderId="1" xfId="25" applyFont="1" applyFill="1" applyBorder="1" applyAlignment="1">
      <alignment vertical="center"/>
    </xf>
    <xf numFmtId="0" fontId="7" fillId="0" borderId="1" xfId="25" applyFont="1" applyFill="1" applyBorder="1" applyAlignment="1">
      <alignment horizontal="center" vertical="center"/>
    </xf>
    <xf numFmtId="0" fontId="5" fillId="0" borderId="1" xfId="0" applyFont="1" applyFill="1" applyBorder="1"/>
    <xf numFmtId="168" fontId="7" fillId="0" borderId="1" xfId="35" applyNumberFormat="1" applyFont="1" applyFill="1" applyBorder="1" applyAlignment="1">
      <alignment horizontal="center"/>
    </xf>
    <xf numFmtId="0" fontId="7" fillId="0" borderId="7" xfId="35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0" fillId="0" borderId="1" xfId="35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34" applyFont="1" applyFill="1" applyBorder="1" applyAlignment="1">
      <alignment horizontal="center" vertical="center" wrapText="1"/>
    </xf>
    <xf numFmtId="0" fontId="25" fillId="0" borderId="0" xfId="0" applyFont="1" applyFill="1"/>
    <xf numFmtId="0" fontId="11" fillId="0" borderId="0" xfId="0" applyFont="1" applyFill="1" applyAlignment="1">
      <alignment horizontal="center" vertical="center"/>
    </xf>
    <xf numFmtId="0" fontId="6" fillId="0" borderId="0" xfId="0" applyFont="1" applyFill="1"/>
    <xf numFmtId="0" fontId="36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0" xfId="0" applyFont="1" applyFill="1" applyAlignment="1">
      <alignment vertical="center"/>
    </xf>
    <xf numFmtId="43" fontId="11" fillId="0" borderId="1" xfId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 wrapText="1"/>
    </xf>
    <xf numFmtId="2" fontId="7" fillId="0" borderId="1" xfId="23" applyNumberFormat="1" applyFont="1" applyFill="1" applyBorder="1" applyAlignment="1">
      <alignment horizontal="center" vertical="center"/>
    </xf>
    <xf numFmtId="0" fontId="7" fillId="0" borderId="5" xfId="23" applyFont="1" applyFill="1" applyBorder="1" applyAlignment="1">
      <alignment horizontal="center" vertical="center"/>
    </xf>
    <xf numFmtId="0" fontId="7" fillId="0" borderId="8" xfId="23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0" borderId="1" xfId="65" applyNumberFormat="1" applyFont="1" applyFill="1" applyBorder="1" applyAlignment="1">
      <alignment horizontal="center" vertical="center" wrapText="1"/>
    </xf>
    <xf numFmtId="43" fontId="7" fillId="0" borderId="0" xfId="1" applyFont="1" applyFill="1" applyAlignment="1">
      <alignment horizontal="center" vertical="center"/>
    </xf>
    <xf numFmtId="43" fontId="7" fillId="0" borderId="0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/>
    </xf>
    <xf numFmtId="43" fontId="14" fillId="0" borderId="0" xfId="1" applyFont="1" applyFill="1" applyBorder="1" applyAlignment="1">
      <alignment vertical="center" wrapText="1"/>
    </xf>
    <xf numFmtId="43" fontId="14" fillId="0" borderId="0" xfId="1" applyFont="1" applyFill="1" applyAlignment="1">
      <alignment vertical="center" wrapText="1"/>
    </xf>
    <xf numFmtId="43" fontId="7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0" xfId="1" applyFont="1" applyFill="1" applyAlignment="1">
      <alignment vertical="center" wrapText="1"/>
    </xf>
    <xf numFmtId="43" fontId="10" fillId="0" borderId="11" xfId="1" applyFont="1" applyFill="1" applyBorder="1" applyAlignment="1">
      <alignment vertical="center" wrapText="1"/>
    </xf>
    <xf numFmtId="43" fontId="10" fillId="0" borderId="0" xfId="1" applyFont="1" applyFill="1" applyBorder="1" applyAlignment="1">
      <alignment vertical="center" wrapText="1"/>
    </xf>
    <xf numFmtId="43" fontId="10" fillId="0" borderId="0" xfId="1" applyFont="1" applyFill="1" applyAlignment="1">
      <alignment vertical="center" wrapText="1"/>
    </xf>
    <xf numFmtId="43" fontId="7" fillId="0" borderId="0" xfId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55" applyFont="1" applyFill="1" applyAlignment="1">
      <alignment vertical="center"/>
    </xf>
    <xf numFmtId="0" fontId="14" fillId="0" borderId="0" xfId="55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38" applyFont="1" applyFill="1" applyAlignment="1">
      <alignment vertical="center"/>
    </xf>
    <xf numFmtId="0" fontId="14" fillId="0" borderId="0" xfId="35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" fillId="0" borderId="0" xfId="34" applyFont="1" applyFill="1" applyAlignment="1">
      <alignment horizontal="center" vertical="center" wrapText="1"/>
    </xf>
    <xf numFmtId="0" fontId="45" fillId="0" borderId="0" xfId="0" applyFont="1" applyFill="1"/>
    <xf numFmtId="0" fontId="11" fillId="0" borderId="0" xfId="34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6" fillId="0" borderId="1" xfId="23" applyFont="1" applyFill="1" applyBorder="1" applyAlignment="1">
      <alignment horizontal="center" vertical="center"/>
    </xf>
    <xf numFmtId="0" fontId="7" fillId="2" borderId="5" xfId="3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38" applyFont="1" applyFill="1" applyAlignment="1">
      <alignment wrapText="1"/>
    </xf>
    <xf numFmtId="0" fontId="7" fillId="0" borderId="1" xfId="38" applyFont="1" applyFill="1" applyBorder="1" applyAlignment="1">
      <alignment horizontal="center" wrapText="1"/>
    </xf>
    <xf numFmtId="0" fontId="15" fillId="0" borderId="1" xfId="38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166" fontId="7" fillId="0" borderId="1" xfId="46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172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5" fillId="3" borderId="1" xfId="33" applyFont="1" applyFill="1" applyBorder="1" applyAlignment="1">
      <alignment vertical="center" wrapText="1"/>
    </xf>
    <xf numFmtId="0" fontId="15" fillId="3" borderId="1" xfId="33" applyNumberFormat="1" applyFont="1" applyFill="1" applyBorder="1" applyAlignment="1">
      <alignment horizontal="center" vertical="center" wrapText="1"/>
    </xf>
    <xf numFmtId="166" fontId="15" fillId="3" borderId="1" xfId="33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49" fontId="15" fillId="3" borderId="1" xfId="0" applyNumberFormat="1" applyFont="1" applyFill="1" applyBorder="1" applyAlignment="1">
      <alignment vertical="center" wrapText="1"/>
    </xf>
    <xf numFmtId="0" fontId="15" fillId="3" borderId="1" xfId="35" applyFont="1" applyFill="1" applyBorder="1" applyAlignment="1">
      <alignment horizontal="center" vertical="center"/>
    </xf>
    <xf numFmtId="0" fontId="15" fillId="3" borderId="1" xfId="35" applyFont="1" applyFill="1" applyBorder="1" applyAlignment="1">
      <alignment horizontal="left" vertical="center" wrapText="1"/>
    </xf>
    <xf numFmtId="0" fontId="15" fillId="3" borderId="1" xfId="35" applyFont="1" applyFill="1" applyBorder="1" applyAlignment="1">
      <alignment horizontal="center" vertical="center" wrapText="1"/>
    </xf>
    <xf numFmtId="2" fontId="15" fillId="3" borderId="1" xfId="35" applyNumberFormat="1" applyFont="1" applyFill="1" applyBorder="1" applyAlignment="1">
      <alignment horizontal="center" vertical="center"/>
    </xf>
    <xf numFmtId="2" fontId="15" fillId="3" borderId="1" xfId="35" applyNumberFormat="1" applyFont="1" applyFill="1" applyBorder="1" applyAlignment="1">
      <alignment horizontal="center" vertical="center" wrapText="1"/>
    </xf>
    <xf numFmtId="43" fontId="15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 wrapText="1"/>
    </xf>
    <xf numFmtId="2" fontId="7" fillId="3" borderId="1" xfId="23" applyNumberFormat="1" applyFont="1" applyFill="1" applyBorder="1" applyAlignment="1">
      <alignment horizontal="center" vertical="center" wrapText="1"/>
    </xf>
    <xf numFmtId="0" fontId="15" fillId="3" borderId="1" xfId="35" applyFont="1" applyFill="1" applyBorder="1" applyAlignment="1">
      <alignment vertical="center" wrapText="1"/>
    </xf>
    <xf numFmtId="0" fontId="15" fillId="3" borderId="1" xfId="35" applyFont="1" applyFill="1" applyBorder="1" applyAlignment="1">
      <alignment horizontal="center"/>
    </xf>
    <xf numFmtId="2" fontId="15" fillId="3" borderId="1" xfId="35" applyNumberFormat="1" applyFont="1" applyFill="1" applyBorder="1" applyAlignment="1">
      <alignment horizontal="center"/>
    </xf>
    <xf numFmtId="0" fontId="15" fillId="3" borderId="1" xfId="46" applyFont="1" applyFill="1" applyBorder="1" applyAlignment="1">
      <alignment horizontal="center" vertical="center" wrapText="1"/>
    </xf>
    <xf numFmtId="43" fontId="15" fillId="3" borderId="1" xfId="1" applyFont="1" applyFill="1" applyBorder="1" applyAlignment="1">
      <alignment horizontal="center" vertical="center" wrapText="1"/>
    </xf>
    <xf numFmtId="0" fontId="2" fillId="3" borderId="1" xfId="34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35" fillId="3" borderId="1" xfId="0" applyNumberFormat="1" applyFont="1" applyFill="1" applyBorder="1" applyAlignment="1">
      <alignment horizontal="center" vertical="center" wrapText="1"/>
    </xf>
    <xf numFmtId="0" fontId="15" fillId="3" borderId="1" xfId="34" applyFont="1" applyFill="1" applyBorder="1" applyAlignment="1">
      <alignment horizontal="center" vertical="center" wrapText="1"/>
    </xf>
    <xf numFmtId="1" fontId="2" fillId="3" borderId="1" xfId="34" applyNumberFormat="1" applyFont="1" applyFill="1" applyBorder="1" applyAlignment="1">
      <alignment horizontal="center" vertical="center"/>
    </xf>
    <xf numFmtId="43" fontId="15" fillId="3" borderId="1" xfId="1" applyFont="1" applyFill="1" applyBorder="1" applyAlignment="1">
      <alignment horizontal="center"/>
    </xf>
    <xf numFmtId="2" fontId="15" fillId="3" borderId="1" xfId="34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3" fontId="15" fillId="4" borderId="7" xfId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5" fillId="0" borderId="0" xfId="0" applyFont="1" applyFill="1"/>
    <xf numFmtId="0" fontId="7" fillId="0" borderId="1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18" fillId="0" borderId="1" xfId="33" applyFont="1" applyFill="1" applyBorder="1" applyAlignment="1">
      <alignment horizontal="center" vertical="center" wrapText="1"/>
    </xf>
    <xf numFmtId="0" fontId="15" fillId="3" borderId="5" xfId="23" applyFont="1" applyFill="1" applyBorder="1" applyAlignment="1">
      <alignment horizontal="center" vertical="center"/>
    </xf>
    <xf numFmtId="0" fontId="15" fillId="3" borderId="1" xfId="23" applyFont="1" applyFill="1" applyBorder="1" applyAlignment="1">
      <alignment horizontal="center" vertical="center"/>
    </xf>
    <xf numFmtId="0" fontId="15" fillId="3" borderId="1" xfId="23" applyFont="1" applyFill="1" applyBorder="1" applyAlignment="1">
      <alignment horizontal="left" vertical="center" wrapText="1"/>
    </xf>
    <xf numFmtId="0" fontId="7" fillId="3" borderId="1" xfId="23" applyFont="1" applyFill="1" applyBorder="1" applyAlignment="1">
      <alignment horizontal="center" vertical="center"/>
    </xf>
    <xf numFmtId="2" fontId="7" fillId="3" borderId="1" xfId="23" applyNumberFormat="1" applyFont="1" applyFill="1" applyBorder="1" applyAlignment="1">
      <alignment horizontal="center" vertical="center"/>
    </xf>
    <xf numFmtId="0" fontId="6" fillId="3" borderId="1" xfId="23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left" wrapText="1"/>
    </xf>
    <xf numFmtId="0" fontId="15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2" fontId="15" fillId="3" borderId="16" xfId="0" applyNumberFormat="1" applyFont="1" applyFill="1" applyBorder="1" applyAlignment="1">
      <alignment horizontal="center"/>
    </xf>
    <xf numFmtId="2" fontId="7" fillId="3" borderId="16" xfId="0" applyNumberFormat="1" applyFont="1" applyFill="1" applyBorder="1" applyAlignment="1">
      <alignment horizontal="center"/>
    </xf>
    <xf numFmtId="2" fontId="7" fillId="3" borderId="16" xfId="0" applyNumberFormat="1" applyFont="1" applyFill="1" applyBorder="1"/>
    <xf numFmtId="2" fontId="7" fillId="3" borderId="16" xfId="0" applyNumberFormat="1" applyFont="1" applyFill="1" applyBorder="1" applyAlignment="1">
      <alignment horizontal="center" vertical="center" wrapText="1"/>
    </xf>
    <xf numFmtId="0" fontId="10" fillId="0" borderId="0" xfId="72" applyFont="1" applyFill="1"/>
    <xf numFmtId="0" fontId="7" fillId="0" borderId="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/>
    <xf numFmtId="0" fontId="15" fillId="0" borderId="16" xfId="25" applyFont="1" applyFill="1" applyBorder="1" applyAlignment="1">
      <alignment horizontal="center" vertical="center" wrapText="1"/>
    </xf>
    <xf numFmtId="0" fontId="7" fillId="0" borderId="16" xfId="25" applyFont="1" applyFill="1" applyBorder="1" applyAlignment="1">
      <alignment horizontal="center" vertical="center"/>
    </xf>
    <xf numFmtId="2" fontId="7" fillId="0" borderId="16" xfId="25" applyNumberFormat="1" applyFont="1" applyFill="1" applyBorder="1" applyAlignment="1">
      <alignment horizontal="center" vertical="center" wrapText="1"/>
    </xf>
    <xf numFmtId="0" fontId="15" fillId="0" borderId="16" xfId="25" applyFont="1" applyFill="1" applyBorder="1"/>
    <xf numFmtId="2" fontId="7" fillId="0" borderId="16" xfId="25" applyNumberFormat="1" applyFont="1" applyFill="1" applyBorder="1" applyAlignment="1">
      <alignment horizontal="center" vertical="center"/>
    </xf>
    <xf numFmtId="0" fontId="76" fillId="2" borderId="0" xfId="0" applyFont="1" applyFill="1"/>
    <xf numFmtId="0" fontId="11" fillId="0" borderId="0" xfId="0" applyFont="1" applyFill="1"/>
    <xf numFmtId="0" fontId="77" fillId="0" borderId="0" xfId="0" applyFont="1" applyFill="1"/>
    <xf numFmtId="0" fontId="15" fillId="3" borderId="16" xfId="0" applyFont="1" applyFill="1" applyBorder="1" applyAlignment="1">
      <alignment horizontal="center"/>
    </xf>
    <xf numFmtId="2" fontId="15" fillId="3" borderId="16" xfId="0" applyNumberFormat="1" applyFont="1" applyFill="1" applyBorder="1"/>
    <xf numFmtId="2" fontId="15" fillId="3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78" fillId="0" borderId="0" xfId="0" applyFont="1" applyFill="1"/>
    <xf numFmtId="0" fontId="7" fillId="0" borderId="16" xfId="0" applyFont="1" applyFill="1" applyBorder="1" applyAlignment="1">
      <alignment horizontal="center" vertical="center"/>
    </xf>
    <xf numFmtId="0" fontId="2" fillId="0" borderId="0" xfId="72" applyFont="1" applyFill="1"/>
    <xf numFmtId="2" fontId="15" fillId="3" borderId="16" xfId="0" applyNumberFormat="1" applyFont="1" applyFill="1" applyBorder="1" applyAlignment="1">
      <alignment horizontal="center" vertical="center"/>
    </xf>
    <xf numFmtId="0" fontId="7" fillId="0" borderId="16" xfId="25" applyFont="1" applyFill="1" applyBorder="1" applyAlignment="1">
      <alignment horizontal="center" vertical="center" wrapText="1"/>
    </xf>
    <xf numFmtId="0" fontId="7" fillId="0" borderId="16" xfId="25" applyFont="1" applyFill="1" applyBorder="1" applyAlignment="1">
      <alignment vertical="center" wrapText="1"/>
    </xf>
    <xf numFmtId="0" fontId="76" fillId="0" borderId="0" xfId="0" applyFont="1" applyFill="1"/>
    <xf numFmtId="0" fontId="79" fillId="3" borderId="16" xfId="0" applyFont="1" applyFill="1" applyBorder="1" applyAlignment="1">
      <alignment horizontal="center" vertical="center"/>
    </xf>
    <xf numFmtId="0" fontId="79" fillId="3" borderId="16" xfId="0" applyFont="1" applyFill="1" applyBorder="1" applyAlignment="1">
      <alignment vertical="center" wrapText="1"/>
    </xf>
    <xf numFmtId="43" fontId="79" fillId="3" borderId="16" xfId="0" applyNumberFormat="1" applyFont="1" applyFill="1" applyBorder="1" applyAlignment="1">
      <alignment horizontal="center" vertical="center"/>
    </xf>
    <xf numFmtId="2" fontId="79" fillId="3" borderId="16" xfId="0" applyNumberFormat="1" applyFont="1" applyFill="1" applyBorder="1" applyAlignment="1">
      <alignment horizontal="center" vertical="center"/>
    </xf>
    <xf numFmtId="2" fontId="15" fillId="3" borderId="16" xfId="12" applyNumberFormat="1" applyFont="1" applyFill="1" applyBorder="1" applyAlignment="1">
      <alignment horizontal="center" vertical="center"/>
    </xf>
    <xf numFmtId="0" fontId="79" fillId="2" borderId="0" xfId="0" applyFont="1" applyFill="1"/>
    <xf numFmtId="0" fontId="75" fillId="0" borderId="16" xfId="0" applyFont="1" applyFill="1" applyBorder="1" applyAlignment="1">
      <alignment horizontal="center" vertical="center"/>
    </xf>
    <xf numFmtId="0" fontId="15" fillId="3" borderId="16" xfId="25" applyFont="1" applyFill="1" applyBorder="1" applyAlignment="1">
      <alignment horizontal="center" vertical="center" wrapText="1"/>
    </xf>
    <xf numFmtId="0" fontId="15" fillId="3" borderId="16" xfId="25" applyFont="1" applyFill="1" applyBorder="1" applyAlignment="1">
      <alignment vertical="center" wrapText="1"/>
    </xf>
    <xf numFmtId="0" fontId="15" fillId="3" borderId="16" xfId="35" applyFont="1" applyFill="1" applyBorder="1" applyAlignment="1">
      <alignment horizontal="center"/>
    </xf>
    <xf numFmtId="2" fontId="15" fillId="3" borderId="16" xfId="25" applyNumberFormat="1" applyFont="1" applyFill="1" applyBorder="1" applyAlignment="1">
      <alignment horizontal="center" vertical="center"/>
    </xf>
    <xf numFmtId="2" fontId="15" fillId="3" borderId="16" xfId="25" applyNumberFormat="1" applyFont="1" applyFill="1" applyBorder="1" applyAlignment="1">
      <alignment horizontal="center" vertical="center" wrapText="1"/>
    </xf>
    <xf numFmtId="2" fontId="7" fillId="3" borderId="16" xfId="25" applyNumberFormat="1" applyFont="1" applyFill="1" applyBorder="1" applyAlignment="1">
      <alignment horizontal="center" vertical="center" wrapText="1"/>
    </xf>
    <xf numFmtId="2" fontId="7" fillId="3" borderId="16" xfId="25" applyNumberFormat="1" applyFont="1" applyFill="1" applyBorder="1" applyAlignment="1">
      <alignment horizontal="center" vertical="center"/>
    </xf>
    <xf numFmtId="0" fontId="7" fillId="0" borderId="16" xfId="0" applyFont="1" applyFill="1" applyBorder="1"/>
    <xf numFmtId="2" fontId="7" fillId="0" borderId="16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/>
    <xf numFmtId="0" fontId="15" fillId="3" borderId="16" xfId="0" applyFont="1" applyFill="1" applyBorder="1" applyAlignment="1">
      <alignment horizontal="left" vertical="center" wrapText="1"/>
    </xf>
    <xf numFmtId="168" fontId="15" fillId="3" borderId="16" xfId="0" applyNumberFormat="1" applyFont="1" applyFill="1" applyBorder="1" applyAlignment="1">
      <alignment horizontal="center" vertical="center" wrapText="1"/>
    </xf>
    <xf numFmtId="0" fontId="78" fillId="2" borderId="0" xfId="0" applyFont="1" applyFill="1"/>
    <xf numFmtId="0" fontId="15" fillId="0" borderId="16" xfId="0" applyFont="1" applyFill="1" applyBorder="1" applyAlignment="1">
      <alignment horizontal="center" vertical="center" wrapText="1"/>
    </xf>
    <xf numFmtId="0" fontId="7" fillId="0" borderId="16" xfId="33" applyFont="1" applyFill="1" applyBorder="1" applyAlignment="1">
      <alignment horizontal="left" vertical="center" wrapText="1"/>
    </xf>
    <xf numFmtId="0" fontId="7" fillId="0" borderId="16" xfId="33" applyFont="1" applyFill="1" applyBorder="1" applyAlignment="1">
      <alignment horizontal="center" vertical="center" wrapText="1"/>
    </xf>
    <xf numFmtId="166" fontId="7" fillId="0" borderId="16" xfId="33" applyNumberFormat="1" applyFont="1" applyFill="1" applyBorder="1" applyAlignment="1">
      <alignment horizontal="center" vertical="center" wrapText="1"/>
    </xf>
    <xf numFmtId="2" fontId="7" fillId="0" borderId="16" xfId="33" applyNumberFormat="1" applyFont="1" applyFill="1" applyBorder="1" applyAlignment="1">
      <alignment horizontal="center" vertical="center" wrapText="1"/>
    </xf>
    <xf numFmtId="0" fontId="7" fillId="0" borderId="16" xfId="33" applyFont="1" applyFill="1" applyBorder="1" applyAlignment="1">
      <alignment horizontal="center"/>
    </xf>
    <xf numFmtId="0" fontId="75" fillId="0" borderId="16" xfId="0" applyFont="1" applyFill="1" applyBorder="1" applyAlignment="1">
      <alignment vertical="center" wrapText="1"/>
    </xf>
    <xf numFmtId="43" fontId="75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0" fontId="75" fillId="0" borderId="0" xfId="0" applyFont="1" applyFill="1"/>
    <xf numFmtId="2" fontId="7" fillId="0" borderId="16" xfId="33" applyNumberFormat="1" applyFont="1" applyFill="1" applyBorder="1" applyAlignment="1">
      <alignment horizontal="center" vertical="center"/>
    </xf>
    <xf numFmtId="0" fontId="7" fillId="0" borderId="16" xfId="33" applyFont="1" applyFill="1" applyBorder="1" applyAlignment="1">
      <alignment vertical="center" wrapText="1"/>
    </xf>
    <xf numFmtId="2" fontId="7" fillId="0" borderId="16" xfId="46" applyNumberFormat="1" applyFont="1" applyFill="1" applyBorder="1" applyAlignment="1">
      <alignment horizontal="center" vertical="center" wrapText="1"/>
    </xf>
    <xf numFmtId="0" fontId="77" fillId="0" borderId="16" xfId="33" applyFont="1" applyFill="1" applyBorder="1" applyAlignment="1">
      <alignment horizontal="left" vertical="center" wrapText="1"/>
    </xf>
    <xf numFmtId="0" fontId="15" fillId="3" borderId="16" xfId="33" applyFont="1" applyFill="1" applyBorder="1" applyAlignment="1">
      <alignment horizontal="left" vertical="center" wrapText="1"/>
    </xf>
    <xf numFmtId="0" fontId="15" fillId="3" borderId="16" xfId="33" applyFont="1" applyFill="1" applyBorder="1" applyAlignment="1">
      <alignment horizontal="center"/>
    </xf>
    <xf numFmtId="0" fontId="81" fillId="0" borderId="0" xfId="0" applyFont="1" applyFill="1"/>
    <xf numFmtId="0" fontId="7" fillId="0" borderId="16" xfId="3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2" fontId="15" fillId="3" borderId="16" xfId="55" applyNumberFormat="1" applyFont="1" applyFill="1" applyBorder="1" applyAlignment="1">
      <alignment horizontal="center" vertical="center"/>
    </xf>
    <xf numFmtId="0" fontId="76" fillId="2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7" fillId="0" borderId="16" xfId="55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0" fontId="10" fillId="0" borderId="0" xfId="38" applyFont="1" applyFill="1" applyAlignment="1">
      <alignment vertical="center"/>
    </xf>
    <xf numFmtId="0" fontId="8" fillId="3" borderId="1" xfId="0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vertical="center" wrapText="1"/>
    </xf>
    <xf numFmtId="166" fontId="15" fillId="3" borderId="1" xfId="0" applyNumberFormat="1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vertical="center"/>
    </xf>
    <xf numFmtId="166" fontId="15" fillId="3" borderId="1" xfId="0" applyNumberFormat="1" applyFont="1" applyFill="1" applyBorder="1" applyAlignment="1">
      <alignment vertical="center"/>
    </xf>
    <xf numFmtId="0" fontId="15" fillId="3" borderId="16" xfId="33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3" borderId="1" xfId="33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5" fillId="3" borderId="16" xfId="33" applyNumberFormat="1" applyFont="1" applyFill="1" applyBorder="1" applyAlignment="1">
      <alignment horizontal="center" vertical="center"/>
    </xf>
    <xf numFmtId="166" fontId="15" fillId="3" borderId="16" xfId="33" applyNumberFormat="1" applyFont="1" applyFill="1" applyBorder="1" applyAlignment="1">
      <alignment horizontal="center" vertical="center"/>
    </xf>
    <xf numFmtId="166" fontId="15" fillId="3" borderId="16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43" fontId="75" fillId="0" borderId="17" xfId="0" applyNumberFormat="1" applyFont="1" applyFill="1" applyBorder="1" applyAlignment="1">
      <alignment horizontal="center" vertical="center"/>
    </xf>
    <xf numFmtId="2" fontId="75" fillId="0" borderId="17" xfId="0" applyNumberFormat="1" applyFont="1" applyFill="1" applyBorder="1" applyAlignment="1">
      <alignment horizontal="center" vertical="center"/>
    </xf>
    <xf numFmtId="0" fontId="82" fillId="0" borderId="0" xfId="23" applyFont="1" applyFill="1" applyAlignment="1">
      <alignment horizontal="center" vertical="center"/>
    </xf>
    <xf numFmtId="0" fontId="15" fillId="3" borderId="1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6" fontId="15" fillId="3" borderId="1" xfId="33" applyNumberFormat="1" applyFont="1" applyFill="1" applyBorder="1" applyAlignment="1">
      <alignment horizontal="center" vertical="center"/>
    </xf>
    <xf numFmtId="0" fontId="2" fillId="0" borderId="0" xfId="55" applyFont="1" applyFill="1" applyAlignment="1">
      <alignment vertical="center"/>
    </xf>
    <xf numFmtId="0" fontId="2" fillId="0" borderId="0" xfId="38" applyFont="1" applyFill="1" applyAlignment="1">
      <alignment vertical="center"/>
    </xf>
    <xf numFmtId="0" fontId="2" fillId="2" borderId="0" xfId="55" applyFont="1" applyFill="1" applyAlignment="1">
      <alignment vertical="center"/>
    </xf>
    <xf numFmtId="0" fontId="15" fillId="3" borderId="17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5" fillId="2" borderId="0" xfId="0" applyFont="1" applyFill="1"/>
    <xf numFmtId="2" fontId="77" fillId="2" borderId="0" xfId="0" applyNumberFormat="1" applyFont="1" applyFill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5" fillId="2" borderId="17" xfId="0" applyFont="1" applyFill="1" applyBorder="1" applyAlignment="1">
      <alignment horizontal="center" vertical="center"/>
    </xf>
    <xf numFmtId="2" fontId="75" fillId="2" borderId="17" xfId="0" applyNumberFormat="1" applyFont="1" applyFill="1" applyBorder="1" applyAlignment="1">
      <alignment horizontal="center" vertical="center"/>
    </xf>
    <xf numFmtId="0" fontId="7" fillId="2" borderId="19" xfId="33" applyFont="1" applyFill="1" applyBorder="1" applyAlignment="1">
      <alignment vertical="center" wrapText="1"/>
    </xf>
    <xf numFmtId="0" fontId="76" fillId="2" borderId="0" xfId="0" quotePrefix="1" applyFont="1" applyFill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7" fillId="2" borderId="20" xfId="33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6" fontId="7" fillId="0" borderId="2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15" fillId="3" borderId="1" xfId="33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166" fontId="15" fillId="3" borderId="20" xfId="0" applyNumberFormat="1" applyFont="1" applyFill="1" applyBorder="1" applyAlignment="1">
      <alignment horizontal="center" vertical="center" wrapText="1"/>
    </xf>
    <xf numFmtId="2" fontId="15" fillId="3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/>
    </xf>
    <xf numFmtId="166" fontId="7" fillId="2" borderId="2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167" fontId="15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/>
    </xf>
    <xf numFmtId="167" fontId="11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/>
    </xf>
    <xf numFmtId="166" fontId="10" fillId="0" borderId="2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2" fontId="7" fillId="0" borderId="7" xfId="46" applyNumberFormat="1" applyFont="1" applyFill="1" applyBorder="1" applyAlignment="1">
      <alignment horizontal="center" vertical="center" wrapText="1"/>
    </xf>
    <xf numFmtId="9" fontId="7" fillId="0" borderId="20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0" fontId="7" fillId="0" borderId="20" xfId="33" applyFont="1" applyFill="1" applyBorder="1" applyAlignment="1">
      <alignment horizontal="left" vertical="center" wrapText="1"/>
    </xf>
    <xf numFmtId="0" fontId="7" fillId="0" borderId="20" xfId="0" applyFont="1" applyFill="1" applyBorder="1"/>
    <xf numFmtId="0" fontId="7" fillId="0" borderId="20" xfId="0" applyFont="1" applyFill="1" applyBorder="1" applyAlignment="1">
      <alignment vertical="center"/>
    </xf>
    <xf numFmtId="10" fontId="23" fillId="0" borderId="20" xfId="27" applyNumberFormat="1" applyFill="1" applyBorder="1" applyAlignment="1">
      <alignment horizontal="center" vertical="center"/>
    </xf>
    <xf numFmtId="174" fontId="15" fillId="0" borderId="20" xfId="0" applyNumberFormat="1" applyFont="1" applyFill="1" applyBorder="1" applyAlignment="1">
      <alignment horizontal="center" vertical="center" wrapText="1"/>
    </xf>
    <xf numFmtId="174" fontId="7" fillId="0" borderId="20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vertical="center" wrapText="1"/>
    </xf>
    <xf numFmtId="2" fontId="38" fillId="0" borderId="20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15" fillId="3" borderId="20" xfId="0" applyFont="1" applyFill="1" applyBorder="1" applyAlignment="1">
      <alignment vertical="center" wrapText="1"/>
    </xf>
    <xf numFmtId="2" fontId="15" fillId="3" borderId="20" xfId="27" applyNumberFormat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15" fillId="3" borderId="7" xfId="0" applyFont="1" applyFill="1" applyBorder="1" applyAlignment="1">
      <alignment horizontal="center" vertical="center" wrapText="1"/>
    </xf>
    <xf numFmtId="167" fontId="15" fillId="3" borderId="20" xfId="0" applyNumberFormat="1" applyFont="1" applyFill="1" applyBorder="1" applyAlignment="1">
      <alignment horizontal="center" vertical="center" wrapText="1"/>
    </xf>
    <xf numFmtId="0" fontId="15" fillId="3" borderId="20" xfId="35" applyFont="1" applyFill="1" applyBorder="1" applyAlignment="1">
      <alignment horizontal="center" vertical="center"/>
    </xf>
    <xf numFmtId="2" fontId="15" fillId="3" borderId="20" xfId="0" applyNumberFormat="1" applyFont="1" applyFill="1" applyBorder="1" applyAlignment="1">
      <alignment horizontal="center" vertical="center"/>
    </xf>
    <xf numFmtId="0" fontId="15" fillId="3" borderId="20" xfId="46" applyFont="1" applyFill="1" applyBorder="1" applyAlignment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171" fontId="15" fillId="3" borderId="20" xfId="0" applyNumberFormat="1" applyFont="1" applyFill="1" applyBorder="1" applyAlignment="1">
      <alignment horizontal="center" vertical="center"/>
    </xf>
    <xf numFmtId="167" fontId="12" fillId="3" borderId="20" xfId="0" applyNumberFormat="1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5" fillId="3" borderId="20" xfId="35" applyFont="1" applyFill="1" applyBorder="1" applyAlignment="1">
      <alignment horizontal="center"/>
    </xf>
    <xf numFmtId="0" fontId="15" fillId="3" borderId="20" xfId="35" applyFont="1" applyFill="1" applyBorder="1" applyAlignment="1">
      <alignment vertical="center" wrapText="1"/>
    </xf>
    <xf numFmtId="0" fontId="15" fillId="3" borderId="20" xfId="35" applyFont="1" applyFill="1" applyBorder="1" applyAlignment="1">
      <alignment horizontal="center" vertical="center" wrapText="1"/>
    </xf>
    <xf numFmtId="166" fontId="15" fillId="3" borderId="20" xfId="35" applyNumberFormat="1" applyFont="1" applyFill="1" applyBorder="1" applyAlignment="1">
      <alignment horizontal="center" vertical="center"/>
    </xf>
    <xf numFmtId="2" fontId="15" fillId="3" borderId="20" xfId="35" applyNumberFormat="1" applyFont="1" applyFill="1" applyBorder="1" applyAlignment="1">
      <alignment horizontal="center" vertical="center"/>
    </xf>
    <xf numFmtId="2" fontId="10" fillId="3" borderId="20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2" fontId="7" fillId="3" borderId="20" xfId="0" applyNumberFormat="1" applyFont="1" applyFill="1" applyBorder="1" applyAlignment="1">
      <alignment horizontal="center" vertical="center"/>
    </xf>
    <xf numFmtId="2" fontId="10" fillId="3" borderId="20" xfId="0" applyNumberFormat="1" applyFont="1" applyFill="1" applyBorder="1" applyAlignment="1">
      <alignment horizontal="center" vertical="center" wrapText="1"/>
    </xf>
    <xf numFmtId="167" fontId="7" fillId="3" borderId="20" xfId="0" applyNumberFormat="1" applyFont="1" applyFill="1" applyBorder="1" applyAlignment="1">
      <alignment horizontal="center" vertical="center" wrapText="1"/>
    </xf>
    <xf numFmtId="2" fontId="7" fillId="3" borderId="20" xfId="0" applyNumberFormat="1" applyFont="1" applyFill="1" applyBorder="1" applyAlignment="1">
      <alignment horizontal="center" vertical="center" wrapText="1"/>
    </xf>
    <xf numFmtId="43" fontId="11" fillId="2" borderId="20" xfId="1" applyFont="1" applyFill="1" applyBorder="1" applyAlignment="1">
      <alignment horizontal="center" vertical="center" wrapText="1"/>
    </xf>
    <xf numFmtId="0" fontId="0" fillId="0" borderId="20" xfId="0" applyFill="1" applyBorder="1"/>
    <xf numFmtId="0" fontId="57" fillId="0" borderId="20" xfId="0" applyFont="1" applyBorder="1"/>
    <xf numFmtId="0" fontId="5" fillId="0" borderId="2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2" fontId="7" fillId="0" borderId="23" xfId="35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 vertical="center" wrapText="1"/>
    </xf>
    <xf numFmtId="0" fontId="15" fillId="3" borderId="23" xfId="35" applyFont="1" applyFill="1" applyBorder="1" applyAlignment="1">
      <alignment horizontal="center"/>
    </xf>
    <xf numFmtId="0" fontId="7" fillId="0" borderId="23" xfId="25" applyFont="1" applyFill="1" applyBorder="1" applyAlignment="1">
      <alignment horizontal="center" vertical="center" wrapText="1"/>
    </xf>
    <xf numFmtId="0" fontId="7" fillId="0" borderId="23" xfId="35" applyFont="1" applyFill="1" applyBorder="1" applyAlignment="1">
      <alignment horizontal="left" vertical="center" wrapText="1"/>
    </xf>
    <xf numFmtId="0" fontId="7" fillId="0" borderId="23" xfId="35" applyFont="1" applyFill="1" applyBorder="1" applyAlignment="1">
      <alignment horizontal="center" vertical="center" wrapText="1"/>
    </xf>
    <xf numFmtId="2" fontId="7" fillId="0" borderId="23" xfId="35" applyNumberFormat="1" applyFont="1" applyFill="1" applyBorder="1" applyAlignment="1">
      <alignment horizontal="center" vertical="center" wrapText="1"/>
    </xf>
    <xf numFmtId="0" fontId="7" fillId="0" borderId="23" xfId="35" applyFont="1" applyFill="1" applyBorder="1" applyAlignment="1">
      <alignment horizontal="center"/>
    </xf>
    <xf numFmtId="2" fontId="7" fillId="0" borderId="23" xfId="25" applyNumberFormat="1" applyFont="1" applyFill="1" applyBorder="1" applyAlignment="1">
      <alignment horizontal="center" vertical="center" wrapText="1"/>
    </xf>
    <xf numFmtId="0" fontId="15" fillId="0" borderId="23" xfId="35" applyFont="1" applyFill="1" applyBorder="1" applyAlignment="1">
      <alignment horizontal="center"/>
    </xf>
    <xf numFmtId="0" fontId="15" fillId="0" borderId="17" xfId="25" applyFont="1" applyFill="1" applyBorder="1" applyAlignment="1">
      <alignment horizontal="center" vertical="center" wrapText="1"/>
    </xf>
    <xf numFmtId="0" fontId="7" fillId="0" borderId="17" xfId="25" applyFont="1" applyFill="1" applyBorder="1" applyAlignment="1">
      <alignment vertical="center"/>
    </xf>
    <xf numFmtId="0" fontId="7" fillId="0" borderId="17" xfId="25" applyFont="1" applyFill="1" applyBorder="1" applyAlignment="1">
      <alignment horizontal="center" vertical="center"/>
    </xf>
    <xf numFmtId="2" fontId="7" fillId="0" borderId="17" xfId="25" applyNumberFormat="1" applyFont="1" applyFill="1" applyBorder="1" applyAlignment="1">
      <alignment horizontal="center" vertical="center" wrapText="1"/>
    </xf>
    <xf numFmtId="0" fontId="7" fillId="0" borderId="23" xfId="46" applyFont="1" applyFill="1" applyBorder="1" applyAlignment="1">
      <alignment horizontal="center" vertical="center" wrapText="1"/>
    </xf>
    <xf numFmtId="43" fontId="15" fillId="0" borderId="23" xfId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" fillId="3" borderId="23" xfId="46" applyFont="1" applyFill="1" applyBorder="1" applyAlignment="1">
      <alignment horizontal="center" vertical="center" wrapText="1"/>
    </xf>
    <xf numFmtId="2" fontId="7" fillId="3" borderId="23" xfId="0" applyNumberFormat="1" applyFont="1" applyFill="1" applyBorder="1" applyAlignment="1">
      <alignment horizontal="center" vertical="center" wrapText="1"/>
    </xf>
    <xf numFmtId="43" fontId="15" fillId="3" borderId="23" xfId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2" fontId="15" fillId="3" borderId="23" xfId="35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18" fillId="0" borderId="23" xfId="3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0" fontId="16" fillId="3" borderId="23" xfId="0" applyNumberFormat="1" applyFont="1" applyFill="1" applyBorder="1" applyAlignment="1">
      <alignment horizontal="center" vertical="center"/>
    </xf>
    <xf numFmtId="0" fontId="81" fillId="3" borderId="23" xfId="0" applyNumberFormat="1" applyFont="1" applyFill="1" applyBorder="1" applyAlignment="1">
      <alignment horizontal="center" vertical="center"/>
    </xf>
    <xf numFmtId="2" fontId="84" fillId="3" borderId="23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42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37" fillId="0" borderId="23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85" fillId="0" borderId="23" xfId="0" applyNumberFormat="1" applyFont="1" applyFill="1" applyBorder="1" applyAlignment="1">
      <alignment horizontal="center" vertical="center"/>
    </xf>
    <xf numFmtId="2" fontId="85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86" fillId="0" borderId="23" xfId="0" applyNumberFormat="1" applyFont="1" applyFill="1" applyBorder="1" applyAlignment="1">
      <alignment horizontal="center" vertical="center" wrapText="1"/>
    </xf>
    <xf numFmtId="0" fontId="87" fillId="0" borderId="23" xfId="0" applyNumberFormat="1" applyFont="1" applyFill="1" applyBorder="1" applyAlignment="1">
      <alignment vertical="center"/>
    </xf>
    <xf numFmtId="0" fontId="88" fillId="0" borderId="23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37" fillId="0" borderId="23" xfId="0" applyNumberFormat="1" applyFont="1" applyFill="1" applyBorder="1" applyAlignment="1">
      <alignment horizontal="center" vertical="center" wrapText="1"/>
    </xf>
    <xf numFmtId="0" fontId="89" fillId="0" borderId="23" xfId="0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76" fillId="0" borderId="23" xfId="0" applyNumberFormat="1" applyFont="1" applyFill="1" applyBorder="1"/>
    <xf numFmtId="0" fontId="76" fillId="0" borderId="23" xfId="0" applyNumberFormat="1" applyFont="1" applyFill="1" applyBorder="1" applyAlignment="1">
      <alignment horizontal="center" vertical="center"/>
    </xf>
    <xf numFmtId="0" fontId="92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wrapText="1"/>
    </xf>
    <xf numFmtId="0" fontId="0" fillId="0" borderId="23" xfId="0" applyNumberFormat="1" applyFill="1" applyBorder="1" applyAlignment="1">
      <alignment horizontal="center" vertical="center"/>
    </xf>
    <xf numFmtId="2" fontId="37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81" fillId="3" borderId="23" xfId="0" applyNumberFormat="1" applyFont="1" applyFill="1" applyBorder="1" applyAlignment="1">
      <alignment vertical="center" wrapText="1"/>
    </xf>
    <xf numFmtId="0" fontId="15" fillId="3" borderId="23" xfId="34" applyFont="1" applyFill="1" applyBorder="1" applyAlignment="1">
      <alignment horizontal="center" vertical="center" wrapText="1"/>
    </xf>
    <xf numFmtId="0" fontId="43" fillId="3" borderId="23" xfId="34" applyFont="1" applyFill="1" applyBorder="1" applyAlignment="1">
      <alignment vertical="center" wrapText="1"/>
    </xf>
    <xf numFmtId="0" fontId="2" fillId="3" borderId="23" xfId="34" applyFont="1" applyFill="1" applyBorder="1" applyAlignment="1">
      <alignment horizontal="center" vertical="center"/>
    </xf>
    <xf numFmtId="0" fontId="33" fillId="3" borderId="23" xfId="34" applyFont="1" applyFill="1" applyBorder="1" applyAlignment="1">
      <alignment horizontal="center" vertical="center"/>
    </xf>
    <xf numFmtId="2" fontId="15" fillId="3" borderId="23" xfId="34" applyNumberFormat="1" applyFont="1" applyFill="1" applyBorder="1" applyAlignment="1">
      <alignment horizontal="center" vertical="center" wrapText="1"/>
    </xf>
    <xf numFmtId="2" fontId="7" fillId="3" borderId="23" xfId="34" applyNumberFormat="1" applyFont="1" applyFill="1" applyBorder="1" applyAlignment="1">
      <alignment horizontal="center" vertical="center" wrapText="1"/>
    </xf>
    <xf numFmtId="167" fontId="7" fillId="3" borderId="23" xfId="34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167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left" vertical="top" wrapText="1"/>
    </xf>
    <xf numFmtId="0" fontId="34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 wrapText="1"/>
    </xf>
    <xf numFmtId="167" fontId="11" fillId="0" borderId="23" xfId="0" applyNumberFormat="1" applyFont="1" applyFill="1" applyBorder="1" applyAlignment="1">
      <alignment horizontal="center" vertical="center" wrapText="1"/>
    </xf>
    <xf numFmtId="0" fontId="7" fillId="0" borderId="17" xfId="34" applyFont="1" applyFill="1" applyBorder="1" applyAlignment="1">
      <alignment horizontal="center" vertical="center" wrapText="1"/>
    </xf>
    <xf numFmtId="2" fontId="15" fillId="0" borderId="17" xfId="34" applyNumberFormat="1" applyFont="1" applyFill="1" applyBorder="1" applyAlignment="1">
      <alignment horizontal="center" vertical="center" wrapText="1"/>
    </xf>
    <xf numFmtId="167" fontId="15" fillId="0" borderId="17" xfId="34" applyNumberFormat="1" applyFont="1" applyFill="1" applyBorder="1" applyAlignment="1">
      <alignment horizontal="center" vertical="center" wrapText="1"/>
    </xf>
    <xf numFmtId="2" fontId="7" fillId="0" borderId="23" xfId="34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/>
    </xf>
    <xf numFmtId="0" fontId="15" fillId="0" borderId="17" xfId="34" applyFont="1" applyFill="1" applyBorder="1" applyAlignment="1">
      <alignment horizontal="center" vertical="center" wrapText="1"/>
    </xf>
    <xf numFmtId="0" fontId="7" fillId="0" borderId="23" xfId="34" applyFont="1" applyFill="1" applyBorder="1" applyAlignment="1">
      <alignment horizontal="center" vertical="center"/>
    </xf>
    <xf numFmtId="0" fontId="7" fillId="0" borderId="17" xfId="34" applyFont="1" applyFill="1" applyBorder="1" applyAlignment="1">
      <alignment horizontal="center" vertical="center"/>
    </xf>
    <xf numFmtId="0" fontId="43" fillId="3" borderId="24" xfId="34" applyFont="1" applyFill="1" applyBorder="1" applyAlignment="1">
      <alignment horizontal="left" vertical="top" wrapText="1"/>
    </xf>
    <xf numFmtId="0" fontId="15" fillId="3" borderId="23" xfId="34" applyFont="1" applyFill="1" applyBorder="1" applyAlignment="1">
      <alignment horizontal="center" vertical="center"/>
    </xf>
    <xf numFmtId="0" fontId="15" fillId="3" borderId="23" xfId="38" applyFont="1" applyFill="1" applyBorder="1" applyAlignment="1">
      <alignment horizontal="center" vertical="center" wrapText="1"/>
    </xf>
    <xf numFmtId="0" fontId="78" fillId="3" borderId="23" xfId="34" applyFont="1" applyFill="1" applyBorder="1" applyAlignment="1">
      <alignment horizontal="center" vertical="center"/>
    </xf>
    <xf numFmtId="167" fontId="15" fillId="3" borderId="23" xfId="34" applyNumberFormat="1" applyFont="1" applyFill="1" applyBorder="1" applyAlignment="1">
      <alignment horizontal="center" vertical="center" wrapText="1"/>
    </xf>
    <xf numFmtId="0" fontId="78" fillId="2" borderId="0" xfId="34" applyFont="1" applyFill="1"/>
    <xf numFmtId="0" fontId="7" fillId="0" borderId="24" xfId="35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11" fillId="0" borderId="23" xfId="73" applyFont="1" applyBorder="1" applyAlignment="1">
      <alignment horizontal="left" vertical="center"/>
    </xf>
    <xf numFmtId="0" fontId="11" fillId="0" borderId="23" xfId="73" applyFont="1" applyBorder="1" applyAlignment="1">
      <alignment horizontal="center" vertical="center"/>
    </xf>
    <xf numFmtId="0" fontId="15" fillId="3" borderId="0" xfId="34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vertical="center" wrapText="1"/>
    </xf>
    <xf numFmtId="0" fontId="7" fillId="3" borderId="23" xfId="34" applyFont="1" applyFill="1" applyBorder="1" applyAlignment="1">
      <alignment horizontal="center" vertical="center"/>
    </xf>
    <xf numFmtId="0" fontId="15" fillId="3" borderId="17" xfId="34" applyFont="1" applyFill="1" applyBorder="1" applyAlignment="1">
      <alignment horizontal="center" vertical="center"/>
    </xf>
    <xf numFmtId="0" fontId="7" fillId="3" borderId="17" xfId="34" applyFont="1" applyFill="1" applyBorder="1" applyAlignment="1">
      <alignment horizontal="center" vertical="center" wrapText="1"/>
    </xf>
    <xf numFmtId="2" fontId="15" fillId="3" borderId="17" xfId="34" applyNumberFormat="1" applyFont="1" applyFill="1" applyBorder="1" applyAlignment="1">
      <alignment horizontal="center" vertical="center" wrapText="1"/>
    </xf>
    <xf numFmtId="167" fontId="15" fillId="3" borderId="17" xfId="34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left" vertical="center"/>
    </xf>
    <xf numFmtId="0" fontId="15" fillId="3" borderId="23" xfId="33" applyFont="1" applyFill="1" applyBorder="1" applyAlignment="1">
      <alignment horizontal="left" vertical="center" wrapText="1"/>
    </xf>
    <xf numFmtId="0" fontId="15" fillId="3" borderId="23" xfId="33" applyFont="1" applyFill="1" applyBorder="1" applyAlignment="1">
      <alignment horizontal="center" vertical="center" wrapText="1"/>
    </xf>
    <xf numFmtId="2" fontId="15" fillId="3" borderId="23" xfId="33" applyNumberFormat="1" applyFont="1" applyFill="1" applyBorder="1" applyAlignment="1">
      <alignment horizontal="center" vertical="center" wrapText="1"/>
    </xf>
    <xf numFmtId="2" fontId="15" fillId="3" borderId="23" xfId="0" applyNumberFormat="1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left" vertical="center" wrapText="1"/>
    </xf>
    <xf numFmtId="0" fontId="7" fillId="0" borderId="23" xfId="33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5" xfId="33" applyFont="1" applyFill="1" applyBorder="1" applyAlignment="1">
      <alignment horizontal="left" vertical="center" wrapText="1"/>
    </xf>
    <xf numFmtId="0" fontId="15" fillId="3" borderId="25" xfId="33" applyFont="1" applyFill="1" applyBorder="1" applyAlignment="1">
      <alignment horizontal="center" vertical="center" wrapText="1"/>
    </xf>
    <xf numFmtId="2" fontId="15" fillId="3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33" applyFont="1" applyFill="1" applyBorder="1" applyAlignment="1">
      <alignment horizontal="left" vertical="center" wrapText="1"/>
    </xf>
    <xf numFmtId="0" fontId="7" fillId="0" borderId="25" xfId="33" applyFont="1" applyFill="1" applyBorder="1" applyAlignment="1">
      <alignment horizontal="center" vertical="center" wrapText="1"/>
    </xf>
    <xf numFmtId="2" fontId="7" fillId="0" borderId="25" xfId="33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7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vertical="center"/>
    </xf>
    <xf numFmtId="166" fontId="7" fillId="0" borderId="25" xfId="0" applyNumberFormat="1" applyFont="1" applyFill="1" applyBorder="1" applyAlignment="1">
      <alignment vertical="center"/>
    </xf>
    <xf numFmtId="2" fontId="7" fillId="0" borderId="25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/>
    <xf numFmtId="2" fontId="7" fillId="0" borderId="25" xfId="0" applyNumberFormat="1" applyFont="1" applyFill="1" applyBorder="1" applyAlignment="1">
      <alignment vertical="center" wrapText="1"/>
    </xf>
    <xf numFmtId="0" fontId="7" fillId="0" borderId="25" xfId="33" applyFont="1" applyFill="1" applyBorder="1" applyAlignment="1">
      <alignment horizontal="center" vertical="center"/>
    </xf>
    <xf numFmtId="2" fontId="7" fillId="0" borderId="25" xfId="33" applyNumberFormat="1" applyFont="1" applyFill="1" applyBorder="1" applyAlignment="1">
      <alignment horizontal="center" vertical="center"/>
    </xf>
    <xf numFmtId="0" fontId="7" fillId="0" borderId="25" xfId="33" applyFont="1" applyFill="1" applyBorder="1" applyAlignment="1">
      <alignment vertical="center" wrapText="1"/>
    </xf>
    <xf numFmtId="167" fontId="15" fillId="3" borderId="25" xfId="0" applyNumberFormat="1" applyFont="1" applyFill="1" applyBorder="1" applyAlignment="1">
      <alignment horizontal="center" vertical="center" wrapText="1"/>
    </xf>
    <xf numFmtId="167" fontId="7" fillId="3" borderId="25" xfId="0" applyNumberFormat="1" applyFont="1" applyFill="1" applyBorder="1" applyAlignment="1">
      <alignment horizontal="center" vertical="center" wrapText="1"/>
    </xf>
    <xf numFmtId="2" fontId="7" fillId="3" borderId="25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2" fontId="15" fillId="3" borderId="26" xfId="0" applyNumberFormat="1" applyFont="1" applyFill="1" applyBorder="1" applyAlignment="1">
      <alignment horizontal="center" vertical="center" wrapText="1"/>
    </xf>
    <xf numFmtId="0" fontId="7" fillId="0" borderId="25" xfId="65" applyNumberFormat="1" applyFont="1" applyFill="1" applyBorder="1" applyAlignment="1">
      <alignment horizontal="center" vertical="center" wrapText="1"/>
    </xf>
    <xf numFmtId="168" fontId="15" fillId="3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 vertical="center"/>
    </xf>
    <xf numFmtId="0" fontId="77" fillId="2" borderId="0" xfId="0" applyFont="1" applyFill="1"/>
    <xf numFmtId="0" fontId="7" fillId="0" borderId="25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2" fontId="15" fillId="3" borderId="25" xfId="0" applyNumberFormat="1" applyFont="1" applyFill="1" applyBorder="1" applyAlignment="1">
      <alignment horizontal="center" vertical="center"/>
    </xf>
    <xf numFmtId="0" fontId="10" fillId="0" borderId="0" xfId="35" applyFont="1" applyFill="1"/>
    <xf numFmtId="0" fontId="10" fillId="0" borderId="0" xfId="38" applyFont="1" applyFill="1"/>
    <xf numFmtId="0" fontId="57" fillId="0" borderId="0" xfId="0" applyFont="1" applyFill="1" applyAlignment="1">
      <alignment wrapText="1"/>
    </xf>
    <xf numFmtId="166" fontId="7" fillId="0" borderId="25" xfId="33" applyNumberFormat="1" applyFont="1" applyFill="1" applyBorder="1" applyAlignment="1">
      <alignment horizontal="center" vertical="center"/>
    </xf>
    <xf numFmtId="2" fontId="7" fillId="0" borderId="25" xfId="46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/>
    </xf>
    <xf numFmtId="2" fontId="15" fillId="3" borderId="1" xfId="12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166" fontId="7" fillId="0" borderId="25" xfId="33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/>
    </xf>
    <xf numFmtId="2" fontId="23" fillId="0" borderId="1" xfId="0" applyNumberFormat="1" applyFont="1" applyFill="1" applyBorder="1" applyAlignment="1">
      <alignment horizontal="center" vertical="center"/>
    </xf>
    <xf numFmtId="0" fontId="7" fillId="0" borderId="25" xfId="25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35" applyFont="1" applyFill="1" applyBorder="1" applyAlignment="1">
      <alignment horizontal="center" vertical="center"/>
    </xf>
    <xf numFmtId="173" fontId="7" fillId="0" borderId="25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5" fillId="3" borderId="16" xfId="55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 wrapText="1"/>
    </xf>
    <xf numFmtId="1" fontId="15" fillId="3" borderId="25" xfId="0" applyNumberFormat="1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vertical="center"/>
    </xf>
    <xf numFmtId="0" fontId="81" fillId="2" borderId="0" xfId="0" applyFont="1" applyFill="1"/>
    <xf numFmtId="0" fontId="7" fillId="0" borderId="25" xfId="35" applyFont="1" applyFill="1" applyBorder="1" applyAlignment="1">
      <alignment vertical="center" wrapText="1"/>
    </xf>
    <xf numFmtId="0" fontId="7" fillId="0" borderId="25" xfId="33" applyNumberFormat="1" applyFont="1" applyFill="1" applyBorder="1" applyAlignment="1">
      <alignment horizontal="center" vertical="center"/>
    </xf>
    <xf numFmtId="0" fontId="19" fillId="0" borderId="1" xfId="33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2" fontId="7" fillId="0" borderId="25" xfId="12" applyNumberFormat="1" applyFont="1" applyFill="1" applyBorder="1" applyAlignment="1">
      <alignment horizontal="center" vertical="center"/>
    </xf>
    <xf numFmtId="0" fontId="15" fillId="3" borderId="25" xfId="0" applyNumberFormat="1" applyFont="1" applyFill="1" applyBorder="1" applyAlignment="1">
      <alignment horizontal="center" vertical="center"/>
    </xf>
    <xf numFmtId="166" fontId="15" fillId="3" borderId="25" xfId="0" applyNumberFormat="1" applyFont="1" applyFill="1" applyBorder="1" applyAlignment="1">
      <alignment horizontal="center" vertical="center"/>
    </xf>
    <xf numFmtId="2" fontId="7" fillId="0" borderId="25" xfId="25" applyNumberFormat="1" applyFont="1" applyFill="1" applyBorder="1" applyAlignment="1">
      <alignment horizontal="center" vertical="center" wrapText="1"/>
    </xf>
    <xf numFmtId="2" fontId="7" fillId="0" borderId="25" xfId="25" applyNumberFormat="1" applyFont="1" applyFill="1" applyBorder="1" applyAlignment="1">
      <alignment horizontal="center" vertical="center"/>
    </xf>
    <xf numFmtId="0" fontId="7" fillId="0" borderId="25" xfId="25" applyFont="1" applyFill="1" applyBorder="1" applyAlignment="1">
      <alignment horizontal="center" vertical="center" wrapText="1"/>
    </xf>
    <xf numFmtId="168" fontId="7" fillId="0" borderId="25" xfId="33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4" fontId="7" fillId="0" borderId="25" xfId="72" applyNumberFormat="1" applyFont="1" applyFill="1" applyBorder="1" applyAlignment="1">
      <alignment horizontal="center" vertical="center" wrapText="1"/>
    </xf>
    <xf numFmtId="0" fontId="15" fillId="3" borderId="25" xfId="25" applyFont="1" applyFill="1" applyBorder="1" applyAlignment="1">
      <alignment horizontal="center" vertical="center" wrapText="1"/>
    </xf>
    <xf numFmtId="0" fontId="15" fillId="3" borderId="25" xfId="25" applyFont="1" applyFill="1" applyBorder="1" applyAlignment="1">
      <alignment horizontal="left" vertical="center" wrapText="1"/>
    </xf>
    <xf numFmtId="0" fontId="15" fillId="3" borderId="25" xfId="35" applyFont="1" applyFill="1" applyBorder="1" applyAlignment="1">
      <alignment horizontal="center" vertical="center"/>
    </xf>
    <xf numFmtId="2" fontId="15" fillId="3" borderId="25" xfId="25" applyNumberFormat="1" applyFont="1" applyFill="1" applyBorder="1" applyAlignment="1">
      <alignment horizontal="center" vertical="center"/>
    </xf>
    <xf numFmtId="2" fontId="15" fillId="3" borderId="25" xfId="25" applyNumberFormat="1" applyFont="1" applyFill="1" applyBorder="1" applyAlignment="1">
      <alignment horizontal="center" vertical="center" wrapText="1"/>
    </xf>
    <xf numFmtId="2" fontId="7" fillId="3" borderId="25" xfId="25" applyNumberFormat="1" applyFont="1" applyFill="1" applyBorder="1" applyAlignment="1">
      <alignment horizontal="center" vertical="center" wrapText="1"/>
    </xf>
    <xf numFmtId="2" fontId="7" fillId="3" borderId="25" xfId="25" applyNumberFormat="1" applyFont="1" applyFill="1" applyBorder="1" applyAlignment="1">
      <alignment horizontal="center" vertical="center"/>
    </xf>
    <xf numFmtId="0" fontId="7" fillId="0" borderId="25" xfId="33" applyNumberFormat="1" applyFont="1" applyFill="1" applyBorder="1" applyAlignment="1">
      <alignment horizontal="center" vertical="center" wrapText="1"/>
    </xf>
    <xf numFmtId="0" fontId="15" fillId="0" borderId="25" xfId="26" applyFont="1" applyFill="1" applyBorder="1" applyAlignment="1">
      <alignment horizontal="center" vertical="center" wrapText="1"/>
    </xf>
    <xf numFmtId="0" fontId="7" fillId="0" borderId="25" xfId="26" applyFont="1" applyFill="1" applyBorder="1" applyAlignment="1">
      <alignment vertical="center"/>
    </xf>
    <xf numFmtId="0" fontId="7" fillId="0" borderId="25" xfId="35" applyFont="1" applyFill="1" applyBorder="1" applyAlignment="1">
      <alignment horizontal="center" vertical="center" wrapText="1"/>
    </xf>
    <xf numFmtId="0" fontId="7" fillId="0" borderId="25" xfId="26" applyNumberFormat="1" applyFont="1" applyFill="1" applyBorder="1" applyAlignment="1">
      <alignment horizontal="center" vertical="center"/>
    </xf>
    <xf numFmtId="166" fontId="7" fillId="0" borderId="25" xfId="26" applyNumberFormat="1" applyFont="1" applyFill="1" applyBorder="1" applyAlignment="1">
      <alignment horizontal="center" vertical="center" wrapText="1"/>
    </xf>
    <xf numFmtId="166" fontId="7" fillId="0" borderId="25" xfId="1" applyNumberFormat="1" applyFont="1" applyFill="1" applyBorder="1" applyAlignment="1">
      <alignment horizontal="center" vertical="center" wrapText="1"/>
    </xf>
    <xf numFmtId="2" fontId="7" fillId="0" borderId="25" xfId="1" applyNumberFormat="1" applyFont="1" applyFill="1" applyBorder="1" applyAlignment="1">
      <alignment horizontal="center" vertical="center" wrapText="1"/>
    </xf>
    <xf numFmtId="2" fontId="15" fillId="0" borderId="25" xfId="1" applyNumberFormat="1" applyFont="1" applyFill="1" applyBorder="1" applyAlignment="1">
      <alignment horizontal="center" vertical="center"/>
    </xf>
    <xf numFmtId="43" fontId="7" fillId="0" borderId="25" xfId="1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7" fillId="0" borderId="25" xfId="35" applyNumberFormat="1" applyFont="1" applyFill="1" applyBorder="1" applyAlignment="1">
      <alignment horizontal="center" vertical="center"/>
    </xf>
    <xf numFmtId="166" fontId="7" fillId="0" borderId="25" xfId="35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66" fontId="7" fillId="0" borderId="25" xfId="25" applyNumberFormat="1" applyFont="1" applyFill="1" applyBorder="1" applyAlignment="1">
      <alignment horizontal="center" vertical="center" wrapText="1"/>
    </xf>
    <xf numFmtId="0" fontId="15" fillId="3" borderId="25" xfId="33" applyFont="1" applyFill="1" applyBorder="1" applyAlignment="1">
      <alignment vertical="center" wrapText="1"/>
    </xf>
    <xf numFmtId="0" fontId="15" fillId="3" borderId="25" xfId="33" applyNumberFormat="1" applyFont="1" applyFill="1" applyBorder="1" applyAlignment="1">
      <alignment horizontal="center" vertical="center"/>
    </xf>
    <xf numFmtId="166" fontId="15" fillId="3" borderId="25" xfId="33" applyNumberFormat="1" applyFont="1" applyFill="1" applyBorder="1" applyAlignment="1">
      <alignment horizontal="center" vertical="center"/>
    </xf>
    <xf numFmtId="166" fontId="15" fillId="3" borderId="25" xfId="25" applyNumberFormat="1" applyFont="1" applyFill="1" applyBorder="1" applyAlignment="1">
      <alignment horizontal="center" vertical="center" wrapText="1"/>
    </xf>
    <xf numFmtId="166" fontId="15" fillId="3" borderId="16" xfId="0" applyNumberFormat="1" applyFont="1" applyFill="1" applyBorder="1" applyAlignment="1">
      <alignment horizontal="center"/>
    </xf>
    <xf numFmtId="0" fontId="7" fillId="0" borderId="25" xfId="27" applyFont="1" applyFill="1" applyBorder="1" applyAlignment="1">
      <alignment horizontal="center" vertical="center"/>
    </xf>
    <xf numFmtId="166" fontId="10" fillId="0" borderId="25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vertical="center" wrapText="1"/>
    </xf>
    <xf numFmtId="166" fontId="2" fillId="3" borderId="25" xfId="0" applyNumberFormat="1" applyFont="1" applyFill="1" applyBorder="1" applyAlignment="1">
      <alignment vertical="center" wrapText="1"/>
    </xf>
    <xf numFmtId="2" fontId="15" fillId="3" borderId="25" xfId="0" applyNumberFormat="1" applyFont="1" applyFill="1" applyBorder="1" applyAlignment="1">
      <alignment vertical="center" wrapText="1"/>
    </xf>
    <xf numFmtId="0" fontId="15" fillId="3" borderId="25" xfId="0" applyNumberFormat="1" applyFont="1" applyFill="1" applyBorder="1" applyAlignment="1">
      <alignment horizontal="center" vertical="center" wrapText="1"/>
    </xf>
    <xf numFmtId="0" fontId="15" fillId="3" borderId="25" xfId="33" applyFont="1" applyFill="1" applyBorder="1" applyAlignment="1">
      <alignment horizontal="center" vertical="center"/>
    </xf>
    <xf numFmtId="0" fontId="7" fillId="0" borderId="25" xfId="38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horizontal="center" vertical="center" wrapText="1"/>
    </xf>
    <xf numFmtId="2" fontId="7" fillId="0" borderId="23" xfId="46" applyNumberFormat="1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82" fillId="0" borderId="23" xfId="23" applyFont="1" applyFill="1" applyBorder="1" applyAlignment="1">
      <alignment horizontal="center" vertical="center"/>
    </xf>
    <xf numFmtId="0" fontId="77" fillId="0" borderId="23" xfId="23" applyFont="1" applyFill="1" applyBorder="1" applyAlignment="1">
      <alignment horizontal="left" vertical="center"/>
    </xf>
    <xf numFmtId="0" fontId="7" fillId="0" borderId="23" xfId="23" applyFont="1" applyFill="1" applyBorder="1" applyAlignment="1">
      <alignment horizontal="center" vertical="center"/>
    </xf>
    <xf numFmtId="0" fontId="7" fillId="0" borderId="23" xfId="33" applyNumberFormat="1" applyFont="1" applyFill="1" applyBorder="1" applyAlignment="1">
      <alignment horizontal="center" vertical="center" wrapText="1"/>
    </xf>
    <xf numFmtId="166" fontId="7" fillId="0" borderId="23" xfId="33" applyNumberFormat="1" applyFont="1" applyFill="1" applyBorder="1" applyAlignment="1">
      <alignment horizontal="center" vertical="center" wrapText="1"/>
    </xf>
    <xf numFmtId="2" fontId="75" fillId="0" borderId="2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172" fontId="7" fillId="0" borderId="25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15" fillId="3" borderId="25" xfId="33" applyNumberFormat="1" applyFont="1" applyFill="1" applyBorder="1" applyAlignment="1">
      <alignment horizontal="center" vertical="center" wrapText="1"/>
    </xf>
    <xf numFmtId="166" fontId="15" fillId="3" borderId="25" xfId="33" applyNumberFormat="1" applyFont="1" applyFill="1" applyBorder="1" applyAlignment="1">
      <alignment horizontal="center" vertical="center" wrapText="1"/>
    </xf>
    <xf numFmtId="166" fontId="15" fillId="3" borderId="25" xfId="0" applyNumberFormat="1" applyFont="1" applyFill="1" applyBorder="1" applyAlignment="1">
      <alignment horizontal="center" vertical="center" wrapText="1"/>
    </xf>
    <xf numFmtId="166" fontId="7" fillId="0" borderId="1" xfId="23" applyNumberFormat="1" applyFont="1" applyFill="1" applyBorder="1" applyAlignment="1">
      <alignment horizontal="center" vertical="center"/>
    </xf>
    <xf numFmtId="0" fontId="16" fillId="2" borderId="0" xfId="34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8" fontId="7" fillId="0" borderId="25" xfId="34" applyNumberFormat="1" applyFont="1" applyFill="1" applyBorder="1" applyAlignment="1">
      <alignment horizontal="center" vertical="center" wrapText="1"/>
    </xf>
    <xf numFmtId="0" fontId="7" fillId="0" borderId="25" xfId="4" applyNumberFormat="1" applyFont="1" applyFill="1" applyBorder="1" applyAlignment="1">
      <alignment horizontal="center" vertical="center" wrapText="1"/>
    </xf>
    <xf numFmtId="2" fontId="7" fillId="0" borderId="25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2" fontId="7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2" fontId="2" fillId="3" borderId="0" xfId="0" applyNumberFormat="1" applyFont="1" applyFill="1" applyAlignment="1">
      <alignment vertical="center"/>
    </xf>
    <xf numFmtId="173" fontId="15" fillId="3" borderId="25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9" fontId="7" fillId="0" borderId="25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166" fontId="7" fillId="4" borderId="20" xfId="0" applyNumberFormat="1" applyFont="1" applyFill="1" applyBorder="1" applyAlignment="1">
      <alignment horizontal="center" vertical="center" wrapText="1"/>
    </xf>
    <xf numFmtId="2" fontId="15" fillId="4" borderId="20" xfId="0" applyNumberFormat="1" applyFont="1" applyFill="1" applyBorder="1" applyAlignment="1">
      <alignment horizontal="center" vertical="center" wrapText="1"/>
    </xf>
    <xf numFmtId="4" fontId="15" fillId="4" borderId="20" xfId="0" applyNumberFormat="1" applyFont="1" applyFill="1" applyBorder="1" applyAlignment="1">
      <alignment horizontal="center" vertical="center" wrapText="1"/>
    </xf>
    <xf numFmtId="0" fontId="7" fillId="0" borderId="25" xfId="35" applyFont="1" applyFill="1" applyBorder="1" applyAlignment="1">
      <alignment horizontal="center"/>
    </xf>
    <xf numFmtId="2" fontId="7" fillId="0" borderId="25" xfId="35" applyNumberFormat="1" applyFont="1" applyFill="1" applyBorder="1" applyAlignment="1">
      <alignment horizontal="center"/>
    </xf>
    <xf numFmtId="0" fontId="7" fillId="0" borderId="25" xfId="46" applyFont="1" applyFill="1" applyBorder="1" applyAlignment="1">
      <alignment horizontal="center" vertical="center" wrapText="1"/>
    </xf>
    <xf numFmtId="43" fontId="15" fillId="0" borderId="25" xfId="1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vertical="center" wrapText="1"/>
    </xf>
    <xf numFmtId="43" fontId="2" fillId="3" borderId="25" xfId="1" applyFont="1" applyFill="1" applyBorder="1" applyAlignment="1">
      <alignment vertical="center" wrapText="1"/>
    </xf>
    <xf numFmtId="0" fontId="7" fillId="0" borderId="25" xfId="35" applyFont="1" applyFill="1" applyBorder="1" applyAlignment="1">
      <alignment horizontal="left" vertical="center" wrapText="1"/>
    </xf>
    <xf numFmtId="43" fontId="7" fillId="0" borderId="25" xfId="1" applyFont="1" applyFill="1" applyBorder="1" applyAlignment="1">
      <alignment horizontal="center" vertical="center" wrapText="1"/>
    </xf>
    <xf numFmtId="168" fontId="7" fillId="0" borderId="25" xfId="35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43" fontId="3" fillId="0" borderId="25" xfId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43" fontId="5" fillId="0" borderId="25" xfId="1" applyFont="1" applyFill="1" applyBorder="1" applyAlignment="1">
      <alignment horizontal="center" vertical="center"/>
    </xf>
    <xf numFmtId="0" fontId="7" fillId="0" borderId="25" xfId="38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0" fontId="7" fillId="0" borderId="25" xfId="38" applyFont="1" applyFill="1" applyBorder="1" applyAlignment="1">
      <alignment horizontal="left" vertical="center" wrapText="1"/>
    </xf>
    <xf numFmtId="2" fontId="5" fillId="0" borderId="25" xfId="0" applyNumberFormat="1" applyFont="1" applyFill="1" applyBorder="1" applyAlignment="1">
      <alignment horizontal="center" vertical="center"/>
    </xf>
    <xf numFmtId="2" fontId="7" fillId="0" borderId="25" xfId="38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75" fontId="11" fillId="0" borderId="25" xfId="1" applyNumberFormat="1" applyFont="1" applyFill="1" applyBorder="1" applyAlignment="1">
      <alignment horizontal="center" vertical="center" wrapText="1"/>
    </xf>
    <xf numFmtId="43" fontId="11" fillId="0" borderId="25" xfId="1" applyFont="1" applyFill="1" applyBorder="1" applyAlignment="1">
      <alignment horizontal="center" vertical="center" wrapText="1"/>
    </xf>
    <xf numFmtId="0" fontId="15" fillId="3" borderId="25" xfId="38" applyFont="1" applyFill="1" applyBorder="1" applyAlignment="1">
      <alignment horizontal="center" vertical="center" wrapText="1"/>
    </xf>
    <xf numFmtId="0" fontId="15" fillId="3" borderId="25" xfId="38" applyFont="1" applyFill="1" applyBorder="1" applyAlignment="1">
      <alignment horizontal="left" vertical="center" wrapText="1"/>
    </xf>
    <xf numFmtId="166" fontId="15" fillId="3" borderId="25" xfId="38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/>
    </xf>
    <xf numFmtId="43" fontId="5" fillId="3" borderId="25" xfId="1" applyFont="1" applyFill="1" applyBorder="1" applyAlignment="1">
      <alignment horizontal="center" vertical="center"/>
    </xf>
    <xf numFmtId="0" fontId="15" fillId="3" borderId="25" xfId="38" applyFont="1" applyFill="1" applyBorder="1" applyAlignment="1">
      <alignment horizontal="center" vertical="center"/>
    </xf>
    <xf numFmtId="2" fontId="15" fillId="3" borderId="25" xfId="38" applyNumberFormat="1" applyFont="1" applyFill="1" applyBorder="1" applyAlignment="1">
      <alignment horizontal="center" vertical="center"/>
    </xf>
    <xf numFmtId="2" fontId="5" fillId="3" borderId="25" xfId="0" applyNumberFormat="1" applyFont="1" applyFill="1" applyBorder="1" applyAlignment="1">
      <alignment horizontal="center" vertical="center"/>
    </xf>
    <xf numFmtId="4" fontId="15" fillId="3" borderId="25" xfId="72" applyNumberFormat="1" applyFont="1" applyFill="1" applyBorder="1" applyAlignment="1">
      <alignment horizontal="center" vertical="center" wrapText="1"/>
    </xf>
    <xf numFmtId="43" fontId="15" fillId="3" borderId="25" xfId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left" vertical="center"/>
    </xf>
    <xf numFmtId="4" fontId="7" fillId="0" borderId="1" xfId="38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7" fillId="0" borderId="25" xfId="0" applyFont="1" applyFill="1" applyBorder="1" applyAlignment="1" applyProtection="1">
      <alignment horizontal="center" vertical="center" wrapText="1"/>
    </xf>
    <xf numFmtId="2" fontId="7" fillId="0" borderId="25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/>
    <xf numFmtId="166" fontId="7" fillId="0" borderId="25" xfId="0" applyNumberFormat="1" applyFont="1" applyFill="1" applyBorder="1" applyAlignment="1">
      <alignment horizontal="center"/>
    </xf>
    <xf numFmtId="0" fontId="95" fillId="3" borderId="25" xfId="0" applyFont="1" applyFill="1" applyBorder="1" applyAlignment="1" applyProtection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15" fillId="3" borderId="25" xfId="35" applyFont="1" applyFill="1" applyBorder="1" applyAlignment="1">
      <alignment horizontal="center" vertical="center" wrapText="1"/>
    </xf>
    <xf numFmtId="166" fontId="15" fillId="3" borderId="25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2" fontId="7" fillId="0" borderId="25" xfId="72" applyNumberFormat="1" applyFont="1" applyFill="1" applyBorder="1" applyAlignment="1">
      <alignment horizontal="center" vertical="center" wrapText="1"/>
    </xf>
    <xf numFmtId="167" fontId="94" fillId="0" borderId="17" xfId="73" applyNumberFormat="1" applyFont="1" applyFill="1" applyBorder="1" applyAlignment="1">
      <alignment horizontal="center" vertical="center"/>
    </xf>
    <xf numFmtId="2" fontId="77" fillId="0" borderId="23" xfId="0" applyNumberFormat="1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2" fontId="7" fillId="0" borderId="23" xfId="35" applyNumberFormat="1" applyFont="1" applyFill="1" applyBorder="1" applyAlignment="1">
      <alignment horizontal="center" vertical="center"/>
    </xf>
    <xf numFmtId="167" fontId="7" fillId="0" borderId="1" xfId="46" applyNumberFormat="1" applyFont="1" applyFill="1" applyBorder="1" applyAlignment="1">
      <alignment horizontal="center" vertical="center" wrapText="1"/>
    </xf>
    <xf numFmtId="2" fontId="91" fillId="0" borderId="23" xfId="0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4" xfId="38" applyFont="1" applyFill="1" applyBorder="1" applyAlignment="1">
      <alignment horizontal="center" vertical="center" wrapText="1"/>
    </xf>
    <xf numFmtId="0" fontId="11" fillId="2" borderId="26" xfId="34" applyFont="1" applyFill="1" applyBorder="1" applyAlignment="1">
      <alignment horizontal="left" vertical="center" wrapText="1"/>
    </xf>
    <xf numFmtId="4" fontId="7" fillId="2" borderId="25" xfId="3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6" fillId="0" borderId="1" xfId="33" applyFont="1" applyFill="1" applyBorder="1" applyAlignment="1">
      <alignment horizontal="center" vertical="center" wrapText="1"/>
    </xf>
    <xf numFmtId="166" fontId="7" fillId="3" borderId="25" xfId="0" applyNumberFormat="1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horizontal="center" vertical="center" wrapText="1"/>
    </xf>
    <xf numFmtId="2" fontId="15" fillId="3" borderId="25" xfId="33" applyNumberFormat="1" applyFont="1" applyFill="1" applyBorder="1" applyAlignment="1">
      <alignment horizontal="center" vertical="center"/>
    </xf>
    <xf numFmtId="0" fontId="15" fillId="3" borderId="25" xfId="65" applyNumberFormat="1" applyFont="1" applyFill="1" applyBorder="1" applyAlignment="1">
      <alignment horizontal="center" vertical="center" wrapText="1"/>
    </xf>
    <xf numFmtId="166" fontId="15" fillId="3" borderId="25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center" vertical="center"/>
    </xf>
    <xf numFmtId="0" fontId="7" fillId="0" borderId="25" xfId="55" applyNumberFormat="1" applyFont="1" applyFill="1" applyBorder="1" applyAlignment="1">
      <alignment horizontal="center" vertical="center"/>
    </xf>
    <xf numFmtId="166" fontId="7" fillId="0" borderId="25" xfId="55" applyNumberFormat="1" applyFont="1" applyFill="1" applyBorder="1" applyAlignment="1">
      <alignment horizontal="center" vertical="center"/>
    </xf>
    <xf numFmtId="166" fontId="7" fillId="0" borderId="25" xfId="55" applyNumberFormat="1" applyFont="1" applyFill="1" applyBorder="1" applyAlignment="1">
      <alignment horizontal="center" vertical="center" wrapText="1"/>
    </xf>
    <xf numFmtId="2" fontId="7" fillId="0" borderId="25" xfId="55" applyNumberFormat="1" applyFont="1" applyFill="1" applyBorder="1" applyAlignment="1">
      <alignment vertical="center"/>
    </xf>
    <xf numFmtId="166" fontId="7" fillId="0" borderId="25" xfId="55" applyNumberFormat="1" applyFont="1" applyFill="1" applyBorder="1" applyAlignment="1">
      <alignment vertical="center"/>
    </xf>
    <xf numFmtId="0" fontId="15" fillId="3" borderId="25" xfId="55" applyFont="1" applyFill="1" applyBorder="1" applyAlignment="1">
      <alignment horizontal="center" vertical="center"/>
    </xf>
    <xf numFmtId="0" fontId="15" fillId="3" borderId="25" xfId="55" applyNumberFormat="1" applyFont="1" applyFill="1" applyBorder="1" applyAlignment="1">
      <alignment horizontal="center" vertical="center"/>
    </xf>
    <xf numFmtId="166" fontId="15" fillId="3" borderId="25" xfId="55" applyNumberFormat="1" applyFont="1" applyFill="1" applyBorder="1" applyAlignment="1">
      <alignment horizontal="center" vertical="center"/>
    </xf>
    <xf numFmtId="166" fontId="15" fillId="3" borderId="25" xfId="55" applyNumberFormat="1" applyFont="1" applyFill="1" applyBorder="1" applyAlignment="1">
      <alignment horizontal="center" vertical="center" wrapText="1"/>
    </xf>
    <xf numFmtId="2" fontId="15" fillId="3" borderId="25" xfId="55" applyNumberFormat="1" applyFont="1" applyFill="1" applyBorder="1" applyAlignment="1">
      <alignment vertical="center"/>
    </xf>
    <xf numFmtId="166" fontId="15" fillId="3" borderId="25" xfId="55" applyNumberFormat="1" applyFont="1" applyFill="1" applyBorder="1" applyAlignment="1">
      <alignment vertical="center"/>
    </xf>
    <xf numFmtId="0" fontId="10" fillId="0" borderId="25" xfId="55" applyNumberFormat="1" applyFont="1" applyFill="1" applyBorder="1" applyAlignment="1">
      <alignment vertical="center"/>
    </xf>
    <xf numFmtId="2" fontId="7" fillId="0" borderId="25" xfId="55" applyNumberFormat="1" applyFont="1" applyFill="1" applyBorder="1" applyAlignment="1">
      <alignment horizontal="center" vertical="center" wrapText="1"/>
    </xf>
    <xf numFmtId="2" fontId="7" fillId="0" borderId="25" xfId="55" applyNumberFormat="1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2" fillId="0" borderId="25" xfId="0" applyNumberFormat="1" applyFont="1" applyFill="1" applyBorder="1" applyAlignment="1">
      <alignment horizontal="center" vertical="center"/>
    </xf>
    <xf numFmtId="0" fontId="37" fillId="0" borderId="25" xfId="0" applyNumberFormat="1" applyFont="1" applyFill="1" applyBorder="1" applyAlignment="1">
      <alignment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85" fillId="0" borderId="25" xfId="0" applyNumberFormat="1" applyFont="1" applyFill="1" applyBorder="1" applyAlignment="1">
      <alignment horizontal="center" vertical="center"/>
    </xf>
    <xf numFmtId="2" fontId="85" fillId="0" borderId="2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7" fillId="0" borderId="25" xfId="36" applyFont="1" applyFill="1" applyBorder="1" applyAlignment="1">
      <alignment horizontal="center" vertical="center"/>
    </xf>
    <xf numFmtId="43" fontId="7" fillId="0" borderId="25" xfId="1" applyFont="1" applyFill="1" applyBorder="1" applyAlignment="1">
      <alignment horizontal="center" vertical="center"/>
    </xf>
    <xf numFmtId="2" fontId="91" fillId="0" borderId="25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 wrapText="1"/>
    </xf>
    <xf numFmtId="2" fontId="75" fillId="0" borderId="2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6" fillId="3" borderId="25" xfId="0" applyFont="1" applyFill="1" applyBorder="1" applyAlignment="1">
      <alignment horizontal="center" vertical="center" wrapText="1"/>
    </xf>
    <xf numFmtId="0" fontId="96" fillId="3" borderId="25" xfId="0" applyFont="1" applyFill="1" applyBorder="1" applyAlignment="1">
      <alignment vertical="center" wrapText="1"/>
    </xf>
    <xf numFmtId="0" fontId="96" fillId="3" borderId="25" xfId="33" applyFont="1" applyFill="1" applyBorder="1" applyAlignment="1">
      <alignment horizontal="center" vertical="center" wrapText="1"/>
    </xf>
    <xf numFmtId="0" fontId="96" fillId="3" borderId="25" xfId="35" applyFont="1" applyFill="1" applyBorder="1" applyAlignment="1">
      <alignment horizontal="center"/>
    </xf>
    <xf numFmtId="2" fontId="96" fillId="3" borderId="25" xfId="33" applyNumberFormat="1" applyFont="1" applyFill="1" applyBorder="1" applyAlignment="1">
      <alignment horizontal="center" vertical="center" wrapText="1"/>
    </xf>
    <xf numFmtId="2" fontId="96" fillId="3" borderId="25" xfId="0" applyNumberFormat="1" applyFont="1" applyFill="1" applyBorder="1" applyAlignment="1">
      <alignment horizontal="center" vertical="center" wrapText="1"/>
    </xf>
    <xf numFmtId="0" fontId="98" fillId="0" borderId="0" xfId="0" applyFont="1"/>
    <xf numFmtId="0" fontId="99" fillId="0" borderId="25" xfId="0" applyFont="1" applyFill="1" applyBorder="1" applyAlignment="1">
      <alignment horizontal="center" vertical="center" wrapText="1"/>
    </xf>
    <xf numFmtId="0" fontId="99" fillId="0" borderId="25" xfId="33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0" fontId="98" fillId="0" borderId="0" xfId="0" applyFont="1" applyFill="1"/>
    <xf numFmtId="0" fontId="99" fillId="0" borderId="25" xfId="0" applyFont="1" applyFill="1" applyBorder="1" applyAlignment="1">
      <alignment horizontal="left" vertical="center" wrapText="1"/>
    </xf>
    <xf numFmtId="0" fontId="99" fillId="0" borderId="25" xfId="35" applyFont="1" applyFill="1" applyBorder="1" applyAlignment="1">
      <alignment horizontal="center"/>
    </xf>
    <xf numFmtId="0" fontId="99" fillId="0" borderId="17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5" fillId="3" borderId="25" xfId="35" applyFont="1" applyFill="1" applyBorder="1" applyAlignment="1">
      <alignment horizontal="left" vertical="center" wrapText="1"/>
    </xf>
    <xf numFmtId="0" fontId="15" fillId="3" borderId="25" xfId="35" applyFont="1" applyFill="1" applyBorder="1" applyAlignment="1">
      <alignment horizontal="center"/>
    </xf>
    <xf numFmtId="2" fontId="15" fillId="3" borderId="25" xfId="35" applyNumberFormat="1" applyFont="1" applyFill="1" applyBorder="1" applyAlignment="1">
      <alignment horizontal="center" vertical="center"/>
    </xf>
    <xf numFmtId="0" fontId="7" fillId="3" borderId="25" xfId="46" applyFont="1" applyFill="1" applyBorder="1" applyAlignment="1">
      <alignment horizontal="center" vertical="center" wrapText="1"/>
    </xf>
    <xf numFmtId="0" fontId="10" fillId="0" borderId="25" xfId="0" applyFont="1" applyFill="1" applyBorder="1"/>
    <xf numFmtId="172" fontId="7" fillId="0" borderId="1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7" fillId="2" borderId="25" xfId="33" applyFont="1" applyFill="1" applyBorder="1" applyAlignment="1">
      <alignment horizontal="left" vertical="center" wrapText="1"/>
    </xf>
    <xf numFmtId="166" fontId="7" fillId="2" borderId="25" xfId="0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0" fontId="101" fillId="2" borderId="0" xfId="0" applyFont="1" applyFill="1" applyAlignment="1">
      <alignment horizontal="left" vertical="center" wrapText="1"/>
    </xf>
    <xf numFmtId="2" fontId="7" fillId="2" borderId="25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171" fontId="7" fillId="0" borderId="25" xfId="0" applyNumberFormat="1" applyFont="1" applyFill="1" applyBorder="1" applyAlignment="1">
      <alignment horizontal="center" vertical="center"/>
    </xf>
    <xf numFmtId="2" fontId="7" fillId="0" borderId="23" xfId="33" applyNumberFormat="1" applyFont="1" applyFill="1" applyBorder="1" applyAlignment="1">
      <alignment horizontal="center" vertical="center" wrapText="1"/>
    </xf>
    <xf numFmtId="2" fontId="7" fillId="0" borderId="23" xfId="33" applyNumberFormat="1" applyFont="1" applyFill="1" applyBorder="1" applyAlignment="1">
      <alignment horizontal="center"/>
    </xf>
    <xf numFmtId="166" fontId="99" fillId="0" borderId="25" xfId="33" applyNumberFormat="1" applyFont="1" applyFill="1" applyBorder="1" applyAlignment="1">
      <alignment horizontal="center" vertical="center" wrapText="1"/>
    </xf>
    <xf numFmtId="176" fontId="99" fillId="0" borderId="25" xfId="0" applyNumberFormat="1" applyFont="1" applyFill="1" applyBorder="1" applyAlignment="1">
      <alignment horizontal="right"/>
    </xf>
    <xf numFmtId="177" fontId="99" fillId="0" borderId="25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0" fontId="2" fillId="3" borderId="27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vertical="center"/>
    </xf>
    <xf numFmtId="168" fontId="7" fillId="0" borderId="16" xfId="25" applyNumberFormat="1" applyFont="1" applyFill="1" applyBorder="1" applyAlignment="1">
      <alignment horizontal="center" vertical="center"/>
    </xf>
    <xf numFmtId="2" fontId="7" fillId="0" borderId="16" xfId="33" applyNumberFormat="1" applyFont="1" applyFill="1" applyBorder="1" applyAlignment="1">
      <alignment horizontal="center"/>
    </xf>
    <xf numFmtId="2" fontId="75" fillId="0" borderId="16" xfId="0" applyNumberFormat="1" applyFont="1" applyFill="1" applyBorder="1" applyAlignment="1">
      <alignment horizontal="center" vertical="center"/>
    </xf>
    <xf numFmtId="166" fontId="75" fillId="0" borderId="15" xfId="0" applyNumberFormat="1" applyFont="1" applyFill="1" applyBorder="1" applyAlignment="1">
      <alignment horizontal="center" vertical="center"/>
    </xf>
    <xf numFmtId="0" fontId="7" fillId="0" borderId="23" xfId="27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11" fillId="2" borderId="20" xfId="1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55" fillId="0" borderId="0" xfId="64" applyFont="1" applyAlignment="1">
      <alignment horizontal="center" vertical="center"/>
    </xf>
    <xf numFmtId="0" fontId="52" fillId="0" borderId="0" xfId="64" applyFont="1" applyAlignment="1">
      <alignment horizontal="center" vertical="center"/>
    </xf>
    <xf numFmtId="0" fontId="50" fillId="0" borderId="0" xfId="64" applyFont="1" applyAlignment="1">
      <alignment horizontal="center" vertical="center"/>
    </xf>
    <xf numFmtId="0" fontId="50" fillId="0" borderId="0" xfId="64" applyFont="1" applyAlignment="1">
      <alignment horizontal="right" vertical="center"/>
    </xf>
    <xf numFmtId="4" fontId="50" fillId="0" borderId="0" xfId="64" applyNumberFormat="1" applyFont="1" applyAlignment="1">
      <alignment horizontal="center" vertical="center"/>
    </xf>
    <xf numFmtId="0" fontId="50" fillId="0" borderId="0" xfId="32" applyFont="1" applyAlignment="1">
      <alignment horizontal="left" vertical="center" wrapText="1"/>
    </xf>
    <xf numFmtId="164" fontId="50" fillId="0" borderId="0" xfId="10" applyFont="1" applyAlignment="1">
      <alignment horizontal="center" vertical="center"/>
    </xf>
    <xf numFmtId="0" fontId="50" fillId="0" borderId="0" xfId="32" applyFont="1" applyAlignment="1">
      <alignment horizontal="center" vertical="center"/>
    </xf>
    <xf numFmtId="0" fontId="51" fillId="0" borderId="0" xfId="32" applyFont="1" applyAlignment="1">
      <alignment horizontal="center" vertical="center" wrapText="1"/>
    </xf>
    <xf numFmtId="0" fontId="52" fillId="0" borderId="0" xfId="32" applyFont="1" applyAlignment="1">
      <alignment horizontal="center" vertical="center"/>
    </xf>
    <xf numFmtId="0" fontId="50" fillId="0" borderId="0" xfId="32" applyFont="1" applyAlignment="1">
      <alignment horizontal="left" vertical="center"/>
    </xf>
    <xf numFmtId="0" fontId="51" fillId="0" borderId="0" xfId="32" applyFont="1" applyAlignment="1">
      <alignment horizontal="left" vertical="center" wrapText="1"/>
    </xf>
    <xf numFmtId="0" fontId="16" fillId="2" borderId="0" xfId="34" applyFont="1" applyFill="1" applyAlignment="1">
      <alignment horizontal="center" vertical="center" wrapText="1"/>
    </xf>
    <xf numFmtId="0" fontId="16" fillId="2" borderId="0" xfId="38" applyFont="1" applyFill="1" applyAlignment="1">
      <alignment horizontal="center" wrapText="1"/>
    </xf>
    <xf numFmtId="0" fontId="7" fillId="2" borderId="0" xfId="38" applyFont="1" applyFill="1" applyBorder="1" applyAlignment="1">
      <alignment horizontal="right" wrapText="1"/>
    </xf>
    <xf numFmtId="0" fontId="7" fillId="2" borderId="1" xfId="38" applyFont="1" applyFill="1" applyBorder="1" applyAlignment="1">
      <alignment horizontal="center" vertical="center" wrapText="1"/>
    </xf>
    <xf numFmtId="0" fontId="7" fillId="2" borderId="5" xfId="38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0" fontId="7" fillId="2" borderId="6" xfId="3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2" fontId="7" fillId="0" borderId="4" xfId="0" applyNumberFormat="1" applyFont="1" applyFill="1" applyBorder="1" applyAlignment="1">
      <alignment horizontal="center" vertical="center" wrapText="1"/>
    </xf>
    <xf numFmtId="172" fontId="7" fillId="0" borderId="7" xfId="0" applyNumberFormat="1" applyFont="1" applyFill="1" applyBorder="1" applyAlignment="1">
      <alignment horizontal="center" vertical="center" wrapText="1"/>
    </xf>
    <xf numFmtId="0" fontId="15" fillId="0" borderId="0" xfId="55" applyFont="1" applyFill="1" applyAlignment="1">
      <alignment horizontal="center" vertical="center" wrapText="1"/>
    </xf>
    <xf numFmtId="0" fontId="15" fillId="0" borderId="0" xfId="55" applyNumberFormat="1" applyFont="1" applyFill="1" applyAlignment="1">
      <alignment horizontal="center" vertical="center" wrapText="1"/>
    </xf>
    <xf numFmtId="43" fontId="15" fillId="0" borderId="0" xfId="1" applyFont="1" applyFill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 wrapText="1"/>
    </xf>
    <xf numFmtId="0" fontId="7" fillId="0" borderId="0" xfId="55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7" fillId="0" borderId="3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74">
    <cellStyle name="Comma" xfId="1" builtinId="3"/>
    <cellStyle name="Comma 2" xfId="14"/>
    <cellStyle name="Comma 2 2" xfId="12"/>
    <cellStyle name="Comma 2 2 2" xfId="15"/>
    <cellStyle name="Comma 2 3" xfId="13"/>
    <cellStyle name="Comma 3" xfId="16"/>
    <cellStyle name="Comma 3 2" xfId="17"/>
    <cellStyle name="Comma 4" xfId="18"/>
    <cellStyle name="Comma 5" xfId="19"/>
    <cellStyle name="Comma 6" xfId="9"/>
    <cellStyle name="Comma 6 2" xfId="6"/>
    <cellStyle name="Currency 2" xfId="11"/>
    <cellStyle name="Currency 2 2" xfId="5"/>
    <cellStyle name="Currency 2 3" xfId="8"/>
    <cellStyle name="Currency_McxeTa BOQ - File. 17.05.2010 2" xfId="10"/>
    <cellStyle name="Euro" xfId="2"/>
    <cellStyle name="Hyperlink 2" xfId="20"/>
    <cellStyle name="Hyperlink 2 2" xfId="21"/>
    <cellStyle name="Hyperlink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4 3" xfId="28"/>
    <cellStyle name="Normal 2" xfId="29"/>
    <cellStyle name="Normal 2 11" xfId="30"/>
    <cellStyle name="Normal 2 11 2" xfId="72"/>
    <cellStyle name="Normal 2 2" xfId="31"/>
    <cellStyle name="Normal 2 2 2" xfId="33"/>
    <cellStyle name="Normal 2 2 3" xfId="34"/>
    <cellStyle name="Normal 2 2 4" xfId="35"/>
    <cellStyle name="Normal 2 3" xfId="36"/>
    <cellStyle name="Normal 2 3 2" xfId="37"/>
    <cellStyle name="Normal 2 4" xfId="38"/>
    <cellStyle name="Normal 2 4 2" xfId="39"/>
    <cellStyle name="Normal 2 5" xfId="40"/>
    <cellStyle name="Normal 2_SItBOS MODINEBA" xfId="41"/>
    <cellStyle name="Normal 29" xfId="73"/>
    <cellStyle name="Normal 3" xfId="42"/>
    <cellStyle name="Normal 3 2" xfId="43"/>
    <cellStyle name="Normal 3 2 2" xfId="44"/>
    <cellStyle name="Normal 3 3" xfId="46"/>
    <cellStyle name="Normal 3 3 2" xfId="47"/>
    <cellStyle name="Normal 3 4" xfId="48"/>
    <cellStyle name="Normal 4" xfId="49"/>
    <cellStyle name="Normal 4 2" xfId="50"/>
    <cellStyle name="Normal 4 2 2" xfId="51"/>
    <cellStyle name="Normal 4 2 3" xfId="52"/>
    <cellStyle name="Normal 4 3" xfId="53"/>
    <cellStyle name="Normal 4 4" xfId="54"/>
    <cellStyle name="Normal 5" xfId="55"/>
    <cellStyle name="Normal 5 2" xfId="56"/>
    <cellStyle name="Normal 5 2 2" xfId="57"/>
    <cellStyle name="Normal 5 2 3" xfId="3"/>
    <cellStyle name="Normal 5 3" xfId="7"/>
    <cellStyle name="Normal 6" xfId="58"/>
    <cellStyle name="Normal 6 2" xfId="59"/>
    <cellStyle name="Normal 6 3" xfId="4"/>
    <cellStyle name="Normal 6 4" xfId="60"/>
    <cellStyle name="Normal 7" xfId="61"/>
    <cellStyle name="Normal 8" xfId="62"/>
    <cellStyle name="Normal 9" xfId="63"/>
    <cellStyle name="Normal_#10 saxli, samxedro kalaki(1). 30.03.2010.-Final+++" xfId="64"/>
    <cellStyle name="Normal_McxeTa BOQ - File. 17.05.2010" xfId="32"/>
    <cellStyle name="Normal_stadion-1" xfId="65"/>
    <cellStyle name="Percent 2" xfId="66"/>
    <cellStyle name="Style 1" xfId="67"/>
    <cellStyle name="Обычный 2" xfId="68"/>
    <cellStyle name="Обычный 4 2" xfId="69"/>
    <cellStyle name="Обычный_SAN2008-I" xfId="45"/>
    <cellStyle name="ჩვეულებრივი 2" xfId="70"/>
    <cellStyle name="ჩვეულებრივი 3" xfId="71"/>
  </cellStyles>
  <dxfs count="0"/>
  <tableStyles count="0" defaultTableStyle="TableStyleMedium9" defaultPivotStyle="PivotStyleLight16"/>
  <colors>
    <mruColors>
      <color rgb="FF22FC04"/>
      <color rgb="FFFF00FF"/>
      <color rgb="FFFFA285"/>
      <color rgb="FF926F00"/>
      <color rgb="FF5D2884"/>
      <color rgb="FF000000"/>
      <color rgb="FF7A5128"/>
      <color rgb="FFBEBE02"/>
      <color rgb="FFBA84B1"/>
      <color rgb="FF868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563880</xdr:colOff>
      <xdr:row>20</xdr:row>
      <xdr:rowOff>137160</xdr:rowOff>
    </xdr:from>
    <xdr:to>
      <xdr:col>8</xdr:col>
      <xdr:colOff>213360</xdr:colOff>
      <xdr:row>26</xdr:row>
      <xdr:rowOff>15240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0" y="4297680"/>
          <a:ext cx="2141220" cy="1112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8</xdr:row>
      <xdr:rowOff>281940</xdr:rowOff>
    </xdr:from>
    <xdr:to>
      <xdr:col>7</xdr:col>
      <xdr:colOff>685800</xdr:colOff>
      <xdr:row>12</xdr:row>
      <xdr:rowOff>137160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8460" y="3718560"/>
          <a:ext cx="2141220" cy="147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156839</xdr:colOff>
          <xdr:row>207</xdr:row>
          <xdr:rowOff>4439</xdr:rowOff>
        </xdr:from>
        <xdr:to>
          <xdr:col>12</xdr:col>
          <xdr:colOff>394964</xdr:colOff>
          <xdr:row>208</xdr:row>
          <xdr:rowOff>66860</xdr:rowOff>
        </xdr:to>
        <xdr:sp macro="" textlink="">
          <xdr:nvSpPr>
            <xdr:cNvPr id="49153" name="Control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62</xdr:row>
      <xdr:rowOff>0</xdr:rowOff>
    </xdr:from>
    <xdr:to>
      <xdr:col>4</xdr:col>
      <xdr:colOff>2352</xdr:colOff>
      <xdr:row>65</xdr:row>
      <xdr:rowOff>62977</xdr:rowOff>
    </xdr:to>
    <xdr:pic>
      <xdr:nvPicPr>
        <xdr:cNvPr id="2" name="Picture 1" descr="C:\Users\giorgi-pc\Dropbox\Screenshots\Screenshot 2019-04-03 13.33.43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67275" y="14547215"/>
          <a:ext cx="1905" cy="634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57</xdr:row>
      <xdr:rowOff>0</xdr:rowOff>
    </xdr:from>
    <xdr:to>
      <xdr:col>4</xdr:col>
      <xdr:colOff>2352</xdr:colOff>
      <xdr:row>60</xdr:row>
      <xdr:rowOff>62977</xdr:rowOff>
    </xdr:to>
    <xdr:pic>
      <xdr:nvPicPr>
        <xdr:cNvPr id="2" name="Picture 1" descr="C:\Users\giorgi-pc\Dropbox\Screenshots\Screenshot 2019-04-03 13.33.43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4435" y="12443460"/>
          <a:ext cx="4257" cy="634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61589</xdr:colOff>
          <xdr:row>249</xdr:row>
          <xdr:rowOff>129189</xdr:rowOff>
        </xdr:from>
        <xdr:to>
          <xdr:col>12</xdr:col>
          <xdr:colOff>309239</xdr:colOff>
          <xdr:row>250</xdr:row>
          <xdr:rowOff>163867</xdr:rowOff>
        </xdr:to>
        <xdr:sp macro="" textlink="">
          <xdr:nvSpPr>
            <xdr:cNvPr id="94209" name="Control 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9"/>
  <sheetViews>
    <sheetView zoomScaleNormal="100" zoomScaleSheetLayoutView="100" workbookViewId="0">
      <selection activeCell="A11" sqref="A11:N11"/>
    </sheetView>
  </sheetViews>
  <sheetFormatPr defaultColWidth="9" defaultRowHeight="15.75"/>
  <cols>
    <col min="1" max="2" width="9.140625" style="96"/>
    <col min="3" max="3" width="9.42578125" style="96" customWidth="1"/>
    <col min="4" max="4" width="9.140625" style="96"/>
    <col min="5" max="5" width="9" style="96" customWidth="1"/>
    <col min="6" max="11" width="9.140625" style="96"/>
  </cols>
  <sheetData>
    <row r="1" spans="1:14" ht="15">
      <c r="A1"/>
      <c r="B1"/>
      <c r="C1"/>
      <c r="D1"/>
      <c r="E1"/>
      <c r="F1"/>
      <c r="G1"/>
      <c r="H1"/>
      <c r="I1"/>
      <c r="J1"/>
      <c r="K1"/>
    </row>
    <row r="2" spans="1:14">
      <c r="A2" s="97"/>
      <c r="B2" s="97"/>
      <c r="C2" s="97"/>
      <c r="D2" s="97"/>
      <c r="E2" s="97"/>
      <c r="F2" s="97"/>
      <c r="G2" s="97"/>
      <c r="H2" s="97"/>
      <c r="I2" s="97"/>
    </row>
    <row r="3" spans="1:14" ht="21">
      <c r="F3" s="1068"/>
      <c r="G3" s="1068"/>
      <c r="H3" s="1068"/>
    </row>
    <row r="10" spans="1:14" ht="22.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4" ht="21">
      <c r="A11" s="1069" t="s">
        <v>427</v>
      </c>
      <c r="B11" s="1069"/>
      <c r="C11" s="1069"/>
      <c r="D11" s="1069"/>
      <c r="E11" s="1069"/>
      <c r="F11" s="1069"/>
      <c r="G11" s="1069"/>
      <c r="H11" s="1069"/>
      <c r="I11" s="1069"/>
      <c r="J11" s="1069"/>
      <c r="K11" s="1069"/>
      <c r="L11" s="1069"/>
      <c r="M11" s="1069"/>
      <c r="N11" s="1069"/>
    </row>
    <row r="13" spans="1:14" ht="21">
      <c r="A13" s="1068" t="s">
        <v>0</v>
      </c>
      <c r="B13" s="1068"/>
      <c r="C13" s="1068"/>
      <c r="D13" s="1068"/>
      <c r="E13" s="1068"/>
      <c r="F13" s="1068"/>
      <c r="G13" s="1068"/>
      <c r="H13" s="1068"/>
      <c r="I13" s="1068"/>
      <c r="J13" s="1068"/>
      <c r="K13" s="1068"/>
      <c r="L13" s="1068"/>
      <c r="M13" s="1068"/>
      <c r="N13" s="1068"/>
    </row>
    <row r="14" spans="1:14" ht="15">
      <c r="A14"/>
      <c r="B14"/>
      <c r="C14"/>
      <c r="D14"/>
      <c r="E14"/>
      <c r="F14"/>
      <c r="G14"/>
      <c r="H14"/>
      <c r="I14"/>
      <c r="J14"/>
      <c r="K14"/>
    </row>
    <row r="28" spans="1:14">
      <c r="A28" s="1070" t="s">
        <v>175</v>
      </c>
      <c r="B28" s="1070"/>
      <c r="C28" s="1070"/>
      <c r="D28" s="1070"/>
      <c r="E28" s="1070"/>
      <c r="F28" s="1070"/>
      <c r="G28" s="1070"/>
      <c r="H28" s="1070"/>
      <c r="I28" s="1070"/>
      <c r="J28" s="1070"/>
      <c r="K28" s="1070"/>
      <c r="L28" s="1070"/>
      <c r="M28" s="1070"/>
      <c r="N28" s="1070"/>
    </row>
    <row r="29" spans="1:14" ht="15">
      <c r="A29"/>
      <c r="B29"/>
      <c r="C29"/>
      <c r="D29"/>
      <c r="E29"/>
      <c r="F29"/>
      <c r="G29"/>
      <c r="H29"/>
      <c r="I29"/>
      <c r="J29"/>
      <c r="K29"/>
    </row>
  </sheetData>
  <mergeCells count="4">
    <mergeCell ref="F3:H3"/>
    <mergeCell ref="A11:N11"/>
    <mergeCell ref="A13:N13"/>
    <mergeCell ref="A28:N28"/>
  </mergeCells>
  <printOptions horizontalCentered="1"/>
  <pageMargins left="0.20866141699999999" right="0.20866141699999999" top="0.24803149599999999" bottom="0.24803149599999999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R333"/>
  <sheetViews>
    <sheetView topLeftCell="A3" zoomScale="103" zoomScaleNormal="103" zoomScaleSheetLayoutView="100" workbookViewId="0">
      <pane xSplit="15990" topLeftCell="F1"/>
      <selection activeCell="J333" sqref="J333"/>
      <selection pane="topRight" activeCell="M959" sqref="M959"/>
    </sheetView>
  </sheetViews>
  <sheetFormatPr defaultColWidth="9.140625" defaultRowHeight="13.5"/>
  <cols>
    <col min="1" max="1" width="5" style="65" customWidth="1"/>
    <col min="2" max="2" width="35.42578125" style="20" customWidth="1"/>
    <col min="3" max="3" width="8.42578125" style="54" customWidth="1"/>
    <col min="4" max="4" width="8.5703125" style="195" customWidth="1"/>
    <col min="5" max="5" width="8.7109375" style="195" customWidth="1"/>
    <col min="6" max="6" width="8.85546875" style="196" customWidth="1"/>
    <col min="7" max="7" width="10.42578125" style="196" customWidth="1"/>
    <col min="8" max="8" width="8.7109375" style="196" customWidth="1"/>
    <col min="9" max="9" width="9.28515625" style="196" customWidth="1"/>
    <col min="10" max="10" width="7.85546875" style="278" customWidth="1"/>
    <col min="11" max="11" width="9" style="196" customWidth="1"/>
    <col min="12" max="12" width="10.42578125" style="196" customWidth="1"/>
    <col min="13" max="16384" width="9.140625" style="265"/>
  </cols>
  <sheetData>
    <row r="1" spans="1:18" s="391" customFormat="1" ht="28.5" customHeight="1">
      <c r="A1" s="115"/>
      <c r="B1" s="1090" t="s">
        <v>34</v>
      </c>
      <c r="C1" s="1090"/>
      <c r="D1" s="1091"/>
      <c r="E1" s="1091"/>
      <c r="F1" s="1091"/>
      <c r="G1" s="1091"/>
      <c r="H1" s="1091"/>
      <c r="I1" s="1091"/>
      <c r="J1" s="1092"/>
      <c r="K1" s="116"/>
      <c r="L1" s="116"/>
    </row>
    <row r="2" spans="1:18" s="391" customFormat="1" ht="15">
      <c r="A2" s="115"/>
      <c r="B2" s="1093" t="s">
        <v>30</v>
      </c>
      <c r="C2" s="1093"/>
      <c r="D2" s="1094"/>
      <c r="E2" s="1094"/>
      <c r="F2" s="1094"/>
      <c r="G2" s="1094"/>
      <c r="H2" s="1094"/>
      <c r="I2" s="1094"/>
      <c r="J2" s="278"/>
      <c r="K2" s="116"/>
      <c r="L2" s="116"/>
    </row>
    <row r="3" spans="1:18" s="297" customFormat="1" ht="15" customHeight="1">
      <c r="A3" s="115"/>
      <c r="B3" s="50"/>
      <c r="C3" s="68"/>
      <c r="D3" s="116"/>
      <c r="E3" s="116"/>
      <c r="F3" s="116"/>
      <c r="G3" s="116"/>
      <c r="H3" s="116"/>
      <c r="I3" s="116"/>
      <c r="J3" s="290"/>
      <c r="K3" s="116"/>
      <c r="L3" s="116"/>
    </row>
    <row r="4" spans="1:18" s="263" customFormat="1" ht="31.5" customHeight="1">
      <c r="A4" s="1087" t="s">
        <v>13</v>
      </c>
      <c r="B4" s="1087" t="s">
        <v>27</v>
      </c>
      <c r="C4" s="1087" t="s">
        <v>173</v>
      </c>
      <c r="D4" s="1095" t="s">
        <v>36</v>
      </c>
      <c r="E4" s="1096"/>
      <c r="F4" s="1097" t="s">
        <v>37</v>
      </c>
      <c r="G4" s="1097"/>
      <c r="H4" s="1097" t="s">
        <v>38</v>
      </c>
      <c r="I4" s="1097"/>
      <c r="J4" s="1098" t="s">
        <v>39</v>
      </c>
      <c r="K4" s="1097"/>
      <c r="L4" s="1088" t="s">
        <v>40</v>
      </c>
    </row>
    <row r="5" spans="1:18" s="263" customFormat="1" ht="38.450000000000003" customHeight="1">
      <c r="A5" s="1087"/>
      <c r="B5" s="1087"/>
      <c r="C5" s="1087"/>
      <c r="D5" s="964" t="s">
        <v>41</v>
      </c>
      <c r="E5" s="964" t="s">
        <v>22</v>
      </c>
      <c r="F5" s="964" t="s">
        <v>42</v>
      </c>
      <c r="G5" s="964" t="s">
        <v>43</v>
      </c>
      <c r="H5" s="964" t="s">
        <v>42</v>
      </c>
      <c r="I5" s="964" t="s">
        <v>43</v>
      </c>
      <c r="J5" s="965" t="s">
        <v>42</v>
      </c>
      <c r="K5" s="964" t="s">
        <v>43</v>
      </c>
      <c r="L5" s="1089"/>
    </row>
    <row r="6" spans="1:18" s="1" customFormat="1" ht="15">
      <c r="A6" s="74">
        <v>1</v>
      </c>
      <c r="B6" s="74">
        <v>2</v>
      </c>
      <c r="C6" s="75">
        <v>3</v>
      </c>
      <c r="D6" s="74">
        <v>4</v>
      </c>
      <c r="E6" s="74">
        <v>5</v>
      </c>
      <c r="F6" s="74">
        <v>6</v>
      </c>
      <c r="G6" s="76">
        <v>7</v>
      </c>
      <c r="H6" s="280">
        <v>8</v>
      </c>
      <c r="I6" s="76">
        <v>9</v>
      </c>
      <c r="J6" s="74">
        <v>10</v>
      </c>
      <c r="K6" s="74">
        <v>11</v>
      </c>
      <c r="L6" s="74">
        <v>12</v>
      </c>
      <c r="M6" s="391"/>
      <c r="N6" s="391"/>
      <c r="O6" s="391"/>
      <c r="P6" s="391"/>
      <c r="Q6" s="391"/>
      <c r="R6" s="391"/>
    </row>
    <row r="7" spans="1:18">
      <c r="A7" s="117"/>
      <c r="B7" s="497" t="s">
        <v>216</v>
      </c>
      <c r="C7" s="966"/>
      <c r="D7" s="119"/>
      <c r="E7" s="119"/>
      <c r="F7" s="119"/>
      <c r="G7" s="120"/>
      <c r="H7" s="119"/>
      <c r="I7" s="119"/>
      <c r="J7" s="119"/>
      <c r="K7" s="119"/>
      <c r="L7" s="119"/>
    </row>
    <row r="8" spans="1:18">
      <c r="A8" s="750"/>
      <c r="B8" s="878" t="s">
        <v>214</v>
      </c>
      <c r="C8" s="742"/>
      <c r="D8" s="879"/>
      <c r="E8" s="879"/>
      <c r="F8" s="879"/>
      <c r="G8" s="880"/>
      <c r="H8" s="879"/>
      <c r="I8" s="879"/>
      <c r="J8" s="879"/>
      <c r="K8" s="879"/>
      <c r="L8" s="879"/>
    </row>
    <row r="9" spans="1:18" s="205" customFormat="1" ht="40.5">
      <c r="A9" s="347">
        <v>1</v>
      </c>
      <c r="B9" s="350" t="s">
        <v>328</v>
      </c>
      <c r="C9" s="347" t="s">
        <v>160</v>
      </c>
      <c r="D9" s="351"/>
      <c r="E9" s="352">
        <v>34.9</v>
      </c>
      <c r="F9" s="353"/>
      <c r="G9" s="354"/>
      <c r="H9" s="353"/>
      <c r="I9" s="354"/>
      <c r="J9" s="353"/>
      <c r="K9" s="354"/>
      <c r="L9" s="354"/>
      <c r="M9" s="355"/>
    </row>
    <row r="10" spans="1:18" s="206" customFormat="1">
      <c r="A10" s="966"/>
      <c r="B10" s="121" t="s">
        <v>45</v>
      </c>
      <c r="C10" s="966" t="s">
        <v>46</v>
      </c>
      <c r="D10" s="123">
        <f>0.6*1.36</f>
        <v>0.81600000000000006</v>
      </c>
      <c r="E10" s="124">
        <f>D10*E9</f>
        <v>28.478400000000001</v>
      </c>
      <c r="F10" s="125"/>
      <c r="G10" s="631"/>
      <c r="H10" s="125"/>
      <c r="I10" s="73">
        <f>H10*E10</f>
        <v>0</v>
      </c>
      <c r="J10" s="125"/>
      <c r="K10" s="125"/>
      <c r="L10" s="73">
        <f>K10+I10+G10</f>
        <v>0</v>
      </c>
      <c r="M10" s="298"/>
    </row>
    <row r="11" spans="1:18" s="6" customFormat="1" ht="15.75">
      <c r="A11" s="966"/>
      <c r="B11" s="121" t="s">
        <v>53</v>
      </c>
      <c r="C11" s="966" t="s">
        <v>2</v>
      </c>
      <c r="D11" s="631">
        <f>0.7*0.0408</f>
        <v>2.8559999999999999E-2</v>
      </c>
      <c r="E11" s="125">
        <f>D11*E9</f>
        <v>0.99674399999999996</v>
      </c>
      <c r="F11" s="125"/>
      <c r="G11" s="73"/>
      <c r="H11" s="125"/>
      <c r="I11" s="73"/>
      <c r="J11" s="125"/>
      <c r="K11" s="73">
        <f>J11*E11</f>
        <v>0</v>
      </c>
      <c r="L11" s="127">
        <f>K11+I11+G11</f>
        <v>0</v>
      </c>
      <c r="M11" s="298"/>
      <c r="N11" s="256"/>
      <c r="O11" s="256"/>
    </row>
    <row r="12" spans="1:18" s="205" customFormat="1" ht="27">
      <c r="A12" s="347">
        <v>2</v>
      </c>
      <c r="B12" s="350" t="s">
        <v>179</v>
      </c>
      <c r="C12" s="347" t="s">
        <v>160</v>
      </c>
      <c r="D12" s="351"/>
      <c r="E12" s="352">
        <v>66.73</v>
      </c>
      <c r="F12" s="353"/>
      <c r="G12" s="354"/>
      <c r="H12" s="353"/>
      <c r="I12" s="354"/>
      <c r="J12" s="353"/>
      <c r="K12" s="354"/>
      <c r="L12" s="354"/>
      <c r="M12" s="355"/>
    </row>
    <row r="13" spans="1:18" s="206" customFormat="1">
      <c r="A13" s="966"/>
      <c r="B13" s="121" t="s">
        <v>45</v>
      </c>
      <c r="C13" s="966" t="s">
        <v>46</v>
      </c>
      <c r="D13" s="123">
        <v>8.2000000000000003E-2</v>
      </c>
      <c r="E13" s="124">
        <f>D13*E12</f>
        <v>5.4718600000000004</v>
      </c>
      <c r="F13" s="125"/>
      <c r="G13" s="631"/>
      <c r="H13" s="125"/>
      <c r="I13" s="73">
        <f>H13*E13</f>
        <v>0</v>
      </c>
      <c r="J13" s="125"/>
      <c r="K13" s="125"/>
      <c r="L13" s="73">
        <f>K13+I13+G13</f>
        <v>0</v>
      </c>
      <c r="M13" s="298"/>
    </row>
    <row r="14" spans="1:18" s="6" customFormat="1" ht="15.75">
      <c r="A14" s="966"/>
      <c r="B14" s="121" t="s">
        <v>53</v>
      </c>
      <c r="C14" s="966" t="s">
        <v>2</v>
      </c>
      <c r="D14" s="631">
        <v>5.0000000000000001E-3</v>
      </c>
      <c r="E14" s="125">
        <f>D14*E12</f>
        <v>0.33365</v>
      </c>
      <c r="F14" s="125"/>
      <c r="G14" s="73"/>
      <c r="H14" s="125"/>
      <c r="I14" s="73"/>
      <c r="J14" s="125"/>
      <c r="K14" s="73">
        <f>J14*E14</f>
        <v>0</v>
      </c>
      <c r="L14" s="127">
        <f>K14+I14+G14</f>
        <v>0</v>
      </c>
      <c r="M14" s="298"/>
      <c r="N14" s="256"/>
      <c r="O14" s="256"/>
    </row>
    <row r="15" spans="1:18" s="205" customFormat="1" ht="27">
      <c r="A15" s="347">
        <v>3</v>
      </c>
      <c r="B15" s="350" t="s">
        <v>180</v>
      </c>
      <c r="C15" s="347" t="s">
        <v>160</v>
      </c>
      <c r="D15" s="351"/>
      <c r="E15" s="352">
        <v>66.73</v>
      </c>
      <c r="F15" s="353"/>
      <c r="G15" s="354"/>
      <c r="H15" s="353"/>
      <c r="I15" s="354"/>
      <c r="J15" s="353"/>
      <c r="K15" s="354"/>
      <c r="L15" s="354"/>
      <c r="M15" s="355"/>
    </row>
    <row r="16" spans="1:18" s="1" customFormat="1" ht="15.75">
      <c r="A16" s="742"/>
      <c r="B16" s="743" t="s">
        <v>45</v>
      </c>
      <c r="C16" s="966" t="s">
        <v>165</v>
      </c>
      <c r="D16" s="744">
        <v>1</v>
      </c>
      <c r="E16" s="744">
        <f>D16*E15</f>
        <v>66.73</v>
      </c>
      <c r="F16" s="742"/>
      <c r="G16" s="742"/>
      <c r="H16" s="746"/>
      <c r="I16" s="746">
        <f>H16*E16</f>
        <v>0</v>
      </c>
      <c r="J16" s="742"/>
      <c r="K16" s="746"/>
      <c r="L16" s="746">
        <f>K16+I16+G16</f>
        <v>0</v>
      </c>
      <c r="M16" s="391"/>
      <c r="N16" s="391"/>
      <c r="O16" s="391"/>
      <c r="P16" s="391"/>
      <c r="Q16" s="391"/>
    </row>
    <row r="17" spans="1:15" s="480" customFormat="1" ht="27">
      <c r="A17" s="392"/>
      <c r="B17" s="868" t="s">
        <v>326</v>
      </c>
      <c r="C17" s="456" t="s">
        <v>293</v>
      </c>
      <c r="D17" s="471"/>
      <c r="E17" s="464">
        <v>1</v>
      </c>
      <c r="F17" s="393"/>
      <c r="G17" s="393"/>
      <c r="H17" s="393"/>
      <c r="I17" s="393"/>
      <c r="J17" s="393"/>
      <c r="K17" s="393">
        <f>J17*E17</f>
        <v>0</v>
      </c>
      <c r="L17" s="746">
        <f>K17+I17+G17</f>
        <v>0</v>
      </c>
    </row>
    <row r="18" spans="1:15" s="205" customFormat="1" ht="27">
      <c r="A18" s="347">
        <v>4</v>
      </c>
      <c r="B18" s="350" t="s">
        <v>185</v>
      </c>
      <c r="C18" s="347" t="s">
        <v>160</v>
      </c>
      <c r="D18" s="351"/>
      <c r="E18" s="352">
        <v>66.7</v>
      </c>
      <c r="F18" s="353"/>
      <c r="G18" s="354"/>
      <c r="H18" s="353"/>
      <c r="I18" s="354"/>
      <c r="J18" s="353"/>
      <c r="K18" s="354"/>
      <c r="L18" s="354"/>
      <c r="M18" s="355"/>
    </row>
    <row r="19" spans="1:15" s="206" customFormat="1">
      <c r="A19" s="966"/>
      <c r="B19" s="121" t="s">
        <v>45</v>
      </c>
      <c r="C19" s="966" t="s">
        <v>46</v>
      </c>
      <c r="D19" s="123">
        <f>0.6*3.1</f>
        <v>1.8599999999999999</v>
      </c>
      <c r="E19" s="124">
        <f>D19*E18</f>
        <v>124.062</v>
      </c>
      <c r="F19" s="125"/>
      <c r="G19" s="631"/>
      <c r="H19" s="125"/>
      <c r="I19" s="73">
        <f>H19*E19</f>
        <v>0</v>
      </c>
      <c r="J19" s="125"/>
      <c r="K19" s="125"/>
      <c r="L19" s="73">
        <f>K19+I19+G19</f>
        <v>0</v>
      </c>
      <c r="M19" s="298"/>
    </row>
    <row r="20" spans="1:15" s="6" customFormat="1" ht="15.75">
      <c r="A20" s="966"/>
      <c r="B20" s="121" t="s">
        <v>53</v>
      </c>
      <c r="C20" s="966" t="s">
        <v>2</v>
      </c>
      <c r="D20" s="631">
        <f>0.7*0.019</f>
        <v>1.3299999999999999E-2</v>
      </c>
      <c r="E20" s="125">
        <f>D20*E18</f>
        <v>0.88710999999999995</v>
      </c>
      <c r="F20" s="125"/>
      <c r="G20" s="73"/>
      <c r="H20" s="125"/>
      <c r="I20" s="73"/>
      <c r="J20" s="125"/>
      <c r="K20" s="73">
        <f>J20*E20</f>
        <v>0</v>
      </c>
      <c r="L20" s="127">
        <f>K20+I20+G20</f>
        <v>0</v>
      </c>
      <c r="M20" s="298"/>
      <c r="N20" s="256"/>
      <c r="O20" s="256"/>
    </row>
    <row r="21" spans="1:15" s="299" customFormat="1" ht="40.5">
      <c r="A21" s="338">
        <v>5</v>
      </c>
      <c r="B21" s="356" t="s">
        <v>182</v>
      </c>
      <c r="C21" s="347" t="s">
        <v>160</v>
      </c>
      <c r="D21" s="338"/>
      <c r="E21" s="353">
        <v>10</v>
      </c>
      <c r="F21" s="353"/>
      <c r="G21" s="354"/>
      <c r="H21" s="353"/>
      <c r="I21" s="354"/>
      <c r="J21" s="353"/>
      <c r="K21" s="354"/>
      <c r="L21" s="354"/>
      <c r="M21" s="298"/>
    </row>
    <row r="22" spans="1:15" s="206" customFormat="1">
      <c r="A22" s="966"/>
      <c r="B22" s="121" t="s">
        <v>45</v>
      </c>
      <c r="C22" s="966" t="s">
        <v>46</v>
      </c>
      <c r="D22" s="123">
        <v>0.32300000000000001</v>
      </c>
      <c r="E22" s="124">
        <f>D22*E21</f>
        <v>3.23</v>
      </c>
      <c r="F22" s="125"/>
      <c r="G22" s="631"/>
      <c r="H22" s="125"/>
      <c r="I22" s="73">
        <f>H22*E22</f>
        <v>0</v>
      </c>
      <c r="J22" s="125"/>
      <c r="K22" s="125"/>
      <c r="L22" s="73">
        <f>K22+I22+G22</f>
        <v>0</v>
      </c>
      <c r="M22" s="298"/>
    </row>
    <row r="23" spans="1:15" s="6" customFormat="1" ht="15.75">
      <c r="A23" s="966"/>
      <c r="B23" s="121" t="s">
        <v>53</v>
      </c>
      <c r="C23" s="966" t="s">
        <v>2</v>
      </c>
      <c r="D23" s="631">
        <v>2.1499999999999998E-2</v>
      </c>
      <c r="E23" s="125">
        <f>D23*E21</f>
        <v>0.21499999999999997</v>
      </c>
      <c r="F23" s="125"/>
      <c r="G23" s="73"/>
      <c r="H23" s="125"/>
      <c r="I23" s="73"/>
      <c r="J23" s="125"/>
      <c r="K23" s="73">
        <f>J23*E23</f>
        <v>0</v>
      </c>
      <c r="L23" s="127">
        <f>K23+I23+G23</f>
        <v>0</v>
      </c>
      <c r="M23" s="298"/>
      <c r="N23" s="256"/>
      <c r="O23" s="256"/>
    </row>
    <row r="24" spans="1:15" s="299" customFormat="1" ht="27">
      <c r="A24" s="338">
        <v>6</v>
      </c>
      <c r="B24" s="356" t="s">
        <v>181</v>
      </c>
      <c r="C24" s="347" t="s">
        <v>160</v>
      </c>
      <c r="D24" s="338"/>
      <c r="E24" s="353">
        <v>10</v>
      </c>
      <c r="F24" s="353"/>
      <c r="G24" s="354"/>
      <c r="H24" s="353"/>
      <c r="I24" s="354"/>
      <c r="J24" s="353"/>
      <c r="K24" s="354"/>
      <c r="L24" s="354"/>
      <c r="M24" s="298"/>
    </row>
    <row r="25" spans="1:15" s="206" customFormat="1">
      <c r="A25" s="966"/>
      <c r="B25" s="121" t="s">
        <v>45</v>
      </c>
      <c r="C25" s="966" t="s">
        <v>46</v>
      </c>
      <c r="D25" s="123">
        <v>1.1120000000000001</v>
      </c>
      <c r="E25" s="124">
        <f>D25*E24</f>
        <v>11.120000000000001</v>
      </c>
      <c r="F25" s="125"/>
      <c r="G25" s="631"/>
      <c r="H25" s="125"/>
      <c r="I25" s="73">
        <f>H25*E25</f>
        <v>0</v>
      </c>
      <c r="J25" s="125"/>
      <c r="K25" s="125"/>
      <c r="L25" s="73">
        <f>K25+I25+G25</f>
        <v>0</v>
      </c>
      <c r="M25" s="298"/>
    </row>
    <row r="26" spans="1:15" s="206" customFormat="1">
      <c r="A26" s="655"/>
      <c r="B26" s="868" t="s">
        <v>317</v>
      </c>
      <c r="C26" s="655" t="s">
        <v>47</v>
      </c>
      <c r="D26" s="873">
        <v>0.38400000000000001</v>
      </c>
      <c r="E26" s="874">
        <f>D26*E24</f>
        <v>3.84</v>
      </c>
      <c r="F26" s="866"/>
      <c r="G26" s="869"/>
      <c r="H26" s="866"/>
      <c r="I26" s="634"/>
      <c r="J26" s="866"/>
      <c r="K26" s="73">
        <f>J26*E26</f>
        <v>0</v>
      </c>
      <c r="L26" s="127">
        <f>K26+I26+G26</f>
        <v>0</v>
      </c>
      <c r="M26" s="298"/>
    </row>
    <row r="27" spans="1:15" s="206" customFormat="1">
      <c r="A27" s="655"/>
      <c r="B27" s="868" t="s">
        <v>318</v>
      </c>
      <c r="C27" s="655" t="s">
        <v>47</v>
      </c>
      <c r="D27" s="873">
        <v>0.38400000000000001</v>
      </c>
      <c r="E27" s="874">
        <f>D27*E24</f>
        <v>3.84</v>
      </c>
      <c r="F27" s="866"/>
      <c r="G27" s="869"/>
      <c r="H27" s="866"/>
      <c r="I27" s="634"/>
      <c r="J27" s="866"/>
      <c r="K27" s="73">
        <f>J27*E27</f>
        <v>0</v>
      </c>
      <c r="L27" s="127">
        <f>K27+I27+G27</f>
        <v>0</v>
      </c>
      <c r="M27" s="298"/>
    </row>
    <row r="28" spans="1:15" s="307" customFormat="1" ht="54">
      <c r="A28" s="738">
        <v>7</v>
      </c>
      <c r="B28" s="848" t="s">
        <v>380</v>
      </c>
      <c r="C28" s="347" t="s">
        <v>156</v>
      </c>
      <c r="D28" s="881"/>
      <c r="E28" s="882">
        <v>1</v>
      </c>
      <c r="F28" s="883"/>
      <c r="G28" s="858"/>
      <c r="H28" s="883"/>
      <c r="I28" s="741"/>
      <c r="J28" s="883"/>
      <c r="K28" s="883"/>
      <c r="L28" s="741"/>
      <c r="M28" s="355"/>
    </row>
    <row r="29" spans="1:15" s="206" customFormat="1">
      <c r="A29" s="966"/>
      <c r="B29" s="121" t="s">
        <v>45</v>
      </c>
      <c r="C29" s="971" t="s">
        <v>46</v>
      </c>
      <c r="D29" s="123">
        <v>13.2</v>
      </c>
      <c r="E29" s="124">
        <f>D29*E28</f>
        <v>13.2</v>
      </c>
      <c r="F29" s="125"/>
      <c r="G29" s="631"/>
      <c r="H29" s="125"/>
      <c r="I29" s="73">
        <f>H29*E29</f>
        <v>0</v>
      </c>
      <c r="J29" s="125"/>
      <c r="K29" s="125"/>
      <c r="L29" s="73">
        <f>K29+I29+G29</f>
        <v>0</v>
      </c>
      <c r="M29" s="298"/>
    </row>
    <row r="30" spans="1:15" s="206" customFormat="1">
      <c r="A30" s="742"/>
      <c r="B30" s="768" t="s">
        <v>53</v>
      </c>
      <c r="C30" s="742" t="s">
        <v>2</v>
      </c>
      <c r="D30" s="832">
        <v>9.6300000000000008</v>
      </c>
      <c r="E30" s="797">
        <f>D30*E28</f>
        <v>9.6300000000000008</v>
      </c>
      <c r="F30" s="753"/>
      <c r="G30" s="752"/>
      <c r="H30" s="753"/>
      <c r="I30" s="746"/>
      <c r="J30" s="753"/>
      <c r="K30" s="73">
        <f>J30*E30</f>
        <v>0</v>
      </c>
      <c r="L30" s="127">
        <f>K30+I30+G30</f>
        <v>0</v>
      </c>
      <c r="M30" s="298"/>
    </row>
    <row r="31" spans="1:15" s="299" customFormat="1" ht="27">
      <c r="A31" s="347">
        <v>8</v>
      </c>
      <c r="B31" s="356" t="s">
        <v>329</v>
      </c>
      <c r="C31" s="498" t="s">
        <v>184</v>
      </c>
      <c r="D31" s="338"/>
      <c r="E31" s="353">
        <v>35.450000000000003</v>
      </c>
      <c r="F31" s="353"/>
      <c r="G31" s="354"/>
      <c r="H31" s="353"/>
      <c r="I31" s="354"/>
      <c r="J31" s="353"/>
      <c r="K31" s="354"/>
      <c r="L31" s="354"/>
      <c r="M31" s="298"/>
    </row>
    <row r="32" spans="1:15" s="206" customFormat="1">
      <c r="A32" s="966"/>
      <c r="B32" s="121" t="s">
        <v>45</v>
      </c>
      <c r="C32" s="966" t="s">
        <v>46</v>
      </c>
      <c r="D32" s="123">
        <v>0.78500000000000003</v>
      </c>
      <c r="E32" s="124">
        <f>D32*E31</f>
        <v>27.828250000000004</v>
      </c>
      <c r="F32" s="125"/>
      <c r="G32" s="631"/>
      <c r="H32" s="125"/>
      <c r="I32" s="73">
        <f>H32*E32</f>
        <v>0</v>
      </c>
      <c r="J32" s="125"/>
      <c r="K32" s="125"/>
      <c r="L32" s="73">
        <f>K32+I32+G32</f>
        <v>0</v>
      </c>
      <c r="M32" s="298"/>
    </row>
    <row r="33" spans="1:13" s="206" customFormat="1" ht="40.5">
      <c r="A33" s="742"/>
      <c r="B33" s="356" t="s">
        <v>392</v>
      </c>
      <c r="C33" s="498" t="s">
        <v>184</v>
      </c>
      <c r="D33" s="338"/>
      <c r="E33" s="353">
        <v>63.4</v>
      </c>
      <c r="F33" s="973"/>
      <c r="G33" s="974"/>
      <c r="H33" s="973"/>
      <c r="I33" s="892"/>
      <c r="J33" s="973"/>
      <c r="K33" s="973"/>
      <c r="L33" s="892"/>
      <c r="M33" s="298"/>
    </row>
    <row r="34" spans="1:13" s="206" customFormat="1" ht="15.75">
      <c r="A34" s="971"/>
      <c r="B34" s="121" t="s">
        <v>45</v>
      </c>
      <c r="C34" s="971" t="s">
        <v>165</v>
      </c>
      <c r="D34" s="123">
        <v>1</v>
      </c>
      <c r="E34" s="124">
        <f>D34*E33</f>
        <v>63.4</v>
      </c>
      <c r="F34" s="125"/>
      <c r="G34" s="631"/>
      <c r="H34" s="125"/>
      <c r="I34" s="73">
        <f>H34*E34</f>
        <v>0</v>
      </c>
      <c r="J34" s="125"/>
      <c r="K34" s="125"/>
      <c r="L34" s="73">
        <f>K34+I34+G34</f>
        <v>0</v>
      </c>
      <c r="M34" s="298"/>
    </row>
    <row r="35" spans="1:13" s="307" customFormat="1" ht="40.5">
      <c r="A35" s="738">
        <v>9</v>
      </c>
      <c r="B35" s="356" t="s">
        <v>393</v>
      </c>
      <c r="C35" s="347" t="s">
        <v>156</v>
      </c>
      <c r="D35" s="881"/>
      <c r="E35" s="882">
        <f>63.4*0.8*0.25</f>
        <v>12.68</v>
      </c>
      <c r="F35" s="883"/>
      <c r="G35" s="858"/>
      <c r="H35" s="883"/>
      <c r="I35" s="741"/>
      <c r="J35" s="883"/>
      <c r="K35" s="883"/>
      <c r="L35" s="741"/>
      <c r="M35" s="355"/>
    </row>
    <row r="36" spans="1:13" s="206" customFormat="1">
      <c r="A36" s="971"/>
      <c r="B36" s="121" t="s">
        <v>45</v>
      </c>
      <c r="C36" s="971" t="s">
        <v>46</v>
      </c>
      <c r="D36" s="123">
        <v>13.2</v>
      </c>
      <c r="E36" s="124">
        <f>D36*E35</f>
        <v>167.37599999999998</v>
      </c>
      <c r="F36" s="125"/>
      <c r="G36" s="631"/>
      <c r="H36" s="125"/>
      <c r="I36" s="73">
        <f>H36*E36</f>
        <v>0</v>
      </c>
      <c r="J36" s="125"/>
      <c r="K36" s="125"/>
      <c r="L36" s="73">
        <f>K36+I36+G36</f>
        <v>0</v>
      </c>
      <c r="M36" s="298"/>
    </row>
    <row r="37" spans="1:13" s="206" customFormat="1">
      <c r="A37" s="742"/>
      <c r="B37" s="768" t="s">
        <v>53</v>
      </c>
      <c r="C37" s="742" t="s">
        <v>2</v>
      </c>
      <c r="D37" s="832">
        <v>9.6300000000000008</v>
      </c>
      <c r="E37" s="797">
        <f>D37*E35</f>
        <v>122.1084</v>
      </c>
      <c r="F37" s="753"/>
      <c r="G37" s="752"/>
      <c r="H37" s="753"/>
      <c r="I37" s="746"/>
      <c r="J37" s="753"/>
      <c r="K37" s="73">
        <f>J37*E37</f>
        <v>0</v>
      </c>
      <c r="L37" s="127">
        <f>K37+I37+G37</f>
        <v>0</v>
      </c>
      <c r="M37" s="298"/>
    </row>
    <row r="38" spans="1:13" s="893" customFormat="1" ht="40.5">
      <c r="A38" s="738">
        <v>10</v>
      </c>
      <c r="B38" s="848" t="s">
        <v>337</v>
      </c>
      <c r="C38" s="738" t="s">
        <v>65</v>
      </c>
      <c r="D38" s="881"/>
      <c r="E38" s="882">
        <v>1</v>
      </c>
      <c r="F38" s="883"/>
      <c r="G38" s="858"/>
      <c r="H38" s="883"/>
      <c r="I38" s="741"/>
      <c r="J38" s="883"/>
      <c r="K38" s="883"/>
      <c r="L38" s="741"/>
      <c r="M38" s="894"/>
    </row>
    <row r="39" spans="1:13" s="206" customFormat="1">
      <c r="A39" s="966"/>
      <c r="B39" s="121" t="s">
        <v>45</v>
      </c>
      <c r="C39" s="966" t="s">
        <v>46</v>
      </c>
      <c r="D39" s="123"/>
      <c r="E39" s="124">
        <v>4</v>
      </c>
      <c r="F39" s="125"/>
      <c r="G39" s="631"/>
      <c r="H39" s="125"/>
      <c r="I39" s="73">
        <f>H39*E39</f>
        <v>0</v>
      </c>
      <c r="J39" s="125"/>
      <c r="K39" s="125"/>
      <c r="L39" s="73">
        <f>K39+I39+G39</f>
        <v>0</v>
      </c>
      <c r="M39" s="298"/>
    </row>
    <row r="40" spans="1:13" s="206" customFormat="1" ht="27">
      <c r="A40" s="742"/>
      <c r="B40" s="768" t="s">
        <v>340</v>
      </c>
      <c r="C40" s="742" t="s">
        <v>341</v>
      </c>
      <c r="D40" s="832"/>
      <c r="E40" s="797">
        <v>0.5</v>
      </c>
      <c r="F40" s="753"/>
      <c r="G40" s="752"/>
      <c r="H40" s="753"/>
      <c r="I40" s="746"/>
      <c r="J40" s="753"/>
      <c r="K40" s="73">
        <f>J40*E40</f>
        <v>0</v>
      </c>
      <c r="L40" s="127">
        <f>K40+I40+G40</f>
        <v>0</v>
      </c>
      <c r="M40" s="298"/>
    </row>
    <row r="41" spans="1:13" s="206" customFormat="1">
      <c r="A41" s="742"/>
      <c r="B41" s="768" t="s">
        <v>338</v>
      </c>
      <c r="C41" s="742" t="s">
        <v>339</v>
      </c>
      <c r="D41" s="832"/>
      <c r="E41" s="797">
        <v>1</v>
      </c>
      <c r="F41" s="753"/>
      <c r="G41" s="752"/>
      <c r="H41" s="753"/>
      <c r="I41" s="746"/>
      <c r="J41" s="753"/>
      <c r="K41" s="73">
        <f>J41*E41</f>
        <v>0</v>
      </c>
      <c r="L41" s="127">
        <f>K41+I41+G41</f>
        <v>0</v>
      </c>
      <c r="M41" s="298"/>
    </row>
    <row r="42" spans="1:13" s="307" customFormat="1" ht="27">
      <c r="A42" s="347">
        <v>11</v>
      </c>
      <c r="B42" s="350" t="s">
        <v>219</v>
      </c>
      <c r="C42" s="347" t="s">
        <v>156</v>
      </c>
      <c r="D42" s="540"/>
      <c r="E42" s="516">
        <f>819.2*0.07</f>
        <v>57.344000000000008</v>
      </c>
      <c r="F42" s="353"/>
      <c r="G42" s="354"/>
      <c r="H42" s="353"/>
      <c r="I42" s="354"/>
      <c r="J42" s="353"/>
      <c r="K42" s="354"/>
      <c r="L42" s="354"/>
      <c r="M42" s="355"/>
    </row>
    <row r="43" spans="1:13" s="206" customFormat="1">
      <c r="A43" s="966"/>
      <c r="B43" s="121" t="s">
        <v>45</v>
      </c>
      <c r="C43" s="966" t="s">
        <v>46</v>
      </c>
      <c r="D43" s="123">
        <v>1.6</v>
      </c>
      <c r="E43" s="124">
        <f>D43*E42</f>
        <v>91.750400000000013</v>
      </c>
      <c r="F43" s="125"/>
      <c r="G43" s="631"/>
      <c r="H43" s="125"/>
      <c r="I43" s="73">
        <f>H43*E43</f>
        <v>0</v>
      </c>
      <c r="J43" s="125"/>
      <c r="K43" s="125"/>
      <c r="L43" s="73">
        <f>K43+I43+G43</f>
        <v>0</v>
      </c>
      <c r="M43" s="298"/>
    </row>
    <row r="44" spans="1:13" s="206" customFormat="1">
      <c r="A44" s="655"/>
      <c r="B44" s="868" t="s">
        <v>323</v>
      </c>
      <c r="C44" s="655" t="s">
        <v>47</v>
      </c>
      <c r="D44" s="873">
        <v>1.9099999999999999E-2</v>
      </c>
      <c r="E44" s="874">
        <f>D44*E42</f>
        <v>1.0952704000000002</v>
      </c>
      <c r="F44" s="866"/>
      <c r="G44" s="869"/>
      <c r="H44" s="866"/>
      <c r="I44" s="634"/>
      <c r="J44" s="750"/>
      <c r="K44" s="413">
        <f>J44*E44</f>
        <v>0</v>
      </c>
      <c r="L44" s="393">
        <f>K44+I44+G44</f>
        <v>0</v>
      </c>
      <c r="M44" s="298"/>
    </row>
    <row r="45" spans="1:13" s="206" customFormat="1">
      <c r="A45" s="655"/>
      <c r="B45" s="868" t="s">
        <v>317</v>
      </c>
      <c r="C45" s="655" t="s">
        <v>47</v>
      </c>
      <c r="D45" s="873">
        <v>0.77500000000000002</v>
      </c>
      <c r="E45" s="874">
        <f>D45*E42</f>
        <v>44.441600000000008</v>
      </c>
      <c r="F45" s="866"/>
      <c r="G45" s="869"/>
      <c r="H45" s="866"/>
      <c r="I45" s="634"/>
      <c r="J45" s="866"/>
      <c r="K45" s="73">
        <f>J45*E45</f>
        <v>0</v>
      </c>
      <c r="L45" s="127">
        <f>K45+I45+G45</f>
        <v>0</v>
      </c>
      <c r="M45" s="298"/>
    </row>
    <row r="46" spans="1:13" s="206" customFormat="1">
      <c r="A46" s="655"/>
      <c r="B46" s="868" t="s">
        <v>318</v>
      </c>
      <c r="C46" s="655" t="s">
        <v>47</v>
      </c>
      <c r="D46" s="873">
        <v>0.38400000000000001</v>
      </c>
      <c r="E46" s="874">
        <f>D46*E42</f>
        <v>22.020096000000002</v>
      </c>
      <c r="F46" s="866"/>
      <c r="G46" s="869"/>
      <c r="H46" s="866"/>
      <c r="I46" s="634"/>
      <c r="J46" s="866"/>
      <c r="K46" s="73">
        <f>J46*E46</f>
        <v>0</v>
      </c>
      <c r="L46" s="127">
        <f>K46+I46+G46</f>
        <v>0</v>
      </c>
      <c r="M46" s="298"/>
    </row>
    <row r="47" spans="1:13" s="307" customFormat="1" ht="15.75">
      <c r="A47" s="347">
        <v>12</v>
      </c>
      <c r="B47" s="350" t="s">
        <v>220</v>
      </c>
      <c r="C47" s="347" t="s">
        <v>156</v>
      </c>
      <c r="D47" s="540"/>
      <c r="E47" s="516">
        <f>138*0.2</f>
        <v>27.6</v>
      </c>
      <c r="F47" s="353"/>
      <c r="G47" s="354"/>
      <c r="H47" s="353"/>
      <c r="I47" s="354"/>
      <c r="J47" s="353"/>
      <c r="K47" s="354"/>
      <c r="L47" s="354"/>
      <c r="M47" s="355"/>
    </row>
    <row r="48" spans="1:13" s="206" customFormat="1">
      <c r="A48" s="966"/>
      <c r="B48" s="121" t="s">
        <v>45</v>
      </c>
      <c r="C48" s="966" t="s">
        <v>46</v>
      </c>
      <c r="D48" s="123">
        <v>0.505</v>
      </c>
      <c r="E48" s="124">
        <f>D48*E47</f>
        <v>13.938000000000001</v>
      </c>
      <c r="F48" s="125"/>
      <c r="G48" s="631"/>
      <c r="H48" s="125"/>
      <c r="I48" s="73">
        <f>H48*E48</f>
        <v>0</v>
      </c>
      <c r="J48" s="125"/>
      <c r="K48" s="125"/>
      <c r="L48" s="73">
        <f>K48+I48+G48</f>
        <v>0</v>
      </c>
      <c r="M48" s="298"/>
    </row>
    <row r="49" spans="1:15" s="206" customFormat="1">
      <c r="A49" s="655"/>
      <c r="B49" s="868" t="s">
        <v>324</v>
      </c>
      <c r="C49" s="655" t="s">
        <v>47</v>
      </c>
      <c r="D49" s="873">
        <v>3.4099999999999998E-2</v>
      </c>
      <c r="E49" s="874">
        <f>D49*E47</f>
        <v>0.94116</v>
      </c>
      <c r="F49" s="866"/>
      <c r="G49" s="869"/>
      <c r="H49" s="866"/>
      <c r="I49" s="634"/>
      <c r="J49" s="866"/>
      <c r="K49" s="73">
        <f>J49*E49</f>
        <v>0</v>
      </c>
      <c r="L49" s="127">
        <f>K49+I49+G49</f>
        <v>0</v>
      </c>
      <c r="M49" s="298"/>
    </row>
    <row r="50" spans="1:15" s="206" customFormat="1" ht="15.75">
      <c r="A50" s="655"/>
      <c r="B50" s="868" t="s">
        <v>325</v>
      </c>
      <c r="C50" s="655" t="s">
        <v>47</v>
      </c>
      <c r="D50" s="873">
        <v>0.10100000000000001</v>
      </c>
      <c r="E50" s="874">
        <f>D50*E47</f>
        <v>2.7876000000000003</v>
      </c>
      <c r="F50" s="866"/>
      <c r="G50" s="869"/>
      <c r="H50" s="866"/>
      <c r="I50" s="634"/>
      <c r="J50" s="866"/>
      <c r="K50" s="73">
        <f>J50*E50</f>
        <v>0</v>
      </c>
      <c r="L50" s="127">
        <f>K50+I50+G50</f>
        <v>0</v>
      </c>
      <c r="M50" s="298"/>
    </row>
    <row r="51" spans="1:15" s="307" customFormat="1" ht="54">
      <c r="A51" s="738">
        <v>13</v>
      </c>
      <c r="B51" s="848" t="s">
        <v>394</v>
      </c>
      <c r="C51" s="347" t="s">
        <v>156</v>
      </c>
      <c r="D51" s="881"/>
      <c r="E51" s="882">
        <f>819.2*0.4+138*0.27</f>
        <v>364.94000000000005</v>
      </c>
      <c r="F51" s="883"/>
      <c r="G51" s="858"/>
      <c r="H51" s="883"/>
      <c r="I51" s="741"/>
      <c r="J51" s="883"/>
      <c r="K51" s="741"/>
      <c r="L51" s="788"/>
      <c r="M51" s="355"/>
    </row>
    <row r="52" spans="1:15" s="206" customFormat="1">
      <c r="A52" s="971"/>
      <c r="B52" s="121" t="s">
        <v>45</v>
      </c>
      <c r="C52" s="971" t="s">
        <v>46</v>
      </c>
      <c r="D52" s="123">
        <v>0.14499999999999999</v>
      </c>
      <c r="E52" s="124">
        <f>D52*E51</f>
        <v>52.916300000000007</v>
      </c>
      <c r="F52" s="125"/>
      <c r="G52" s="631"/>
      <c r="H52" s="125"/>
      <c r="I52" s="73">
        <f>H52*E52</f>
        <v>0</v>
      </c>
      <c r="J52" s="125"/>
      <c r="K52" s="125"/>
      <c r="L52" s="73">
        <f>K52+I52+G52</f>
        <v>0</v>
      </c>
      <c r="M52" s="298"/>
    </row>
    <row r="53" spans="1:15" s="206" customFormat="1">
      <c r="A53" s="655"/>
      <c r="B53" s="868" t="s">
        <v>323</v>
      </c>
      <c r="C53" s="655" t="s">
        <v>47</v>
      </c>
      <c r="D53" s="873">
        <v>3.1800000000000002E-2</v>
      </c>
      <c r="E53" s="874">
        <f>D53*E51</f>
        <v>11.605092000000003</v>
      </c>
      <c r="F53" s="866"/>
      <c r="G53" s="869"/>
      <c r="H53" s="866"/>
      <c r="I53" s="634"/>
      <c r="J53" s="750"/>
      <c r="K53" s="413">
        <f>J53*E53</f>
        <v>0</v>
      </c>
      <c r="L53" s="393">
        <f>K53+I53+G53</f>
        <v>0</v>
      </c>
      <c r="M53" s="298"/>
    </row>
    <row r="54" spans="1:15" s="13" customFormat="1" ht="15">
      <c r="A54" s="971"/>
      <c r="B54" s="121" t="s">
        <v>48</v>
      </c>
      <c r="C54" s="122" t="s">
        <v>2</v>
      </c>
      <c r="D54" s="133">
        <v>1.4500000000000001E-2</v>
      </c>
      <c r="E54" s="134">
        <f>D54*E52</f>
        <v>0.76728635000000012</v>
      </c>
      <c r="F54" s="125"/>
      <c r="G54" s="73"/>
      <c r="H54" s="125"/>
      <c r="I54" s="73"/>
      <c r="J54" s="125"/>
      <c r="K54" s="73">
        <f>E54*J54</f>
        <v>0</v>
      </c>
      <c r="L54" s="73">
        <f>K54+I54+G54</f>
        <v>0</v>
      </c>
      <c r="M54" s="197"/>
      <c r="N54" s="197"/>
      <c r="O54" s="197"/>
    </row>
    <row r="55" spans="1:15" s="7" customFormat="1" ht="40.5">
      <c r="A55" s="738">
        <v>14</v>
      </c>
      <c r="B55" s="848" t="s">
        <v>396</v>
      </c>
      <c r="C55" s="738" t="s">
        <v>51</v>
      </c>
      <c r="D55" s="858"/>
      <c r="E55" s="883">
        <v>5.5579999999999998</v>
      </c>
      <c r="F55" s="883"/>
      <c r="G55" s="741"/>
      <c r="H55" s="883"/>
      <c r="I55" s="741"/>
      <c r="J55" s="883"/>
      <c r="K55" s="741"/>
      <c r="L55" s="788"/>
      <c r="M55" s="355"/>
      <c r="N55" s="303"/>
      <c r="O55" s="303"/>
    </row>
    <row r="56" spans="1:15" s="206" customFormat="1">
      <c r="A56" s="971"/>
      <c r="B56" s="121" t="s">
        <v>45</v>
      </c>
      <c r="C56" s="971" t="s">
        <v>51</v>
      </c>
      <c r="D56" s="123">
        <v>1</v>
      </c>
      <c r="E56" s="124">
        <f>D56*E55</f>
        <v>5.5579999999999998</v>
      </c>
      <c r="F56" s="125"/>
      <c r="G56" s="631"/>
      <c r="H56" s="125"/>
      <c r="I56" s="73">
        <f>H56*E56</f>
        <v>0</v>
      </c>
      <c r="J56" s="125"/>
      <c r="K56" s="125"/>
      <c r="L56" s="73">
        <f>K56+I56+G56</f>
        <v>0</v>
      </c>
      <c r="M56" s="298"/>
    </row>
    <row r="57" spans="1:15" s="7" customFormat="1" ht="40.5">
      <c r="A57" s="738">
        <v>15</v>
      </c>
      <c r="B57" s="848" t="s">
        <v>387</v>
      </c>
      <c r="C57" s="347"/>
      <c r="D57" s="858"/>
      <c r="E57" s="883"/>
      <c r="F57" s="883"/>
      <c r="G57" s="741"/>
      <c r="H57" s="883"/>
      <c r="I57" s="741"/>
      <c r="J57" s="883"/>
      <c r="K57" s="741"/>
      <c r="L57" s="788"/>
      <c r="M57" s="355"/>
      <c r="N57" s="303"/>
      <c r="O57" s="303"/>
    </row>
    <row r="58" spans="1:15" s="256" customFormat="1" ht="15.75">
      <c r="A58" s="742"/>
      <c r="B58" s="768" t="s">
        <v>388</v>
      </c>
      <c r="C58" s="742" t="s">
        <v>339</v>
      </c>
      <c r="D58" s="752"/>
      <c r="E58" s="753">
        <v>1</v>
      </c>
      <c r="F58" s="753"/>
      <c r="G58" s="746"/>
      <c r="H58" s="753"/>
      <c r="I58" s="746"/>
      <c r="J58" s="753"/>
      <c r="K58" s="73">
        <f>J58*E58</f>
        <v>0</v>
      </c>
      <c r="L58" s="127">
        <f>K58+I58+G58</f>
        <v>0</v>
      </c>
      <c r="M58" s="298"/>
    </row>
    <row r="59" spans="1:15" s="7" customFormat="1" ht="40.5">
      <c r="A59" s="738">
        <v>16</v>
      </c>
      <c r="B59" s="848" t="s">
        <v>395</v>
      </c>
      <c r="C59" s="347" t="s">
        <v>156</v>
      </c>
      <c r="D59" s="858"/>
      <c r="E59" s="883">
        <v>464.14</v>
      </c>
      <c r="F59" s="883"/>
      <c r="G59" s="741"/>
      <c r="H59" s="883"/>
      <c r="I59" s="741"/>
      <c r="J59" s="883"/>
      <c r="K59" s="741"/>
      <c r="L59" s="788"/>
      <c r="M59" s="355"/>
      <c r="N59" s="303"/>
      <c r="O59" s="303"/>
    </row>
    <row r="60" spans="1:15" s="256" customFormat="1" ht="15.75">
      <c r="A60" s="742"/>
      <c r="B60" s="768" t="s">
        <v>425</v>
      </c>
      <c r="C60" s="742" t="s">
        <v>47</v>
      </c>
      <c r="D60" s="752">
        <f>1.25*0.041</f>
        <v>5.1250000000000004E-2</v>
      </c>
      <c r="E60" s="753">
        <f>D60*E59</f>
        <v>23.787175000000001</v>
      </c>
      <c r="F60" s="753"/>
      <c r="G60" s="746"/>
      <c r="H60" s="753"/>
      <c r="I60" s="746"/>
      <c r="J60" s="753"/>
      <c r="K60" s="73">
        <f>J60*E60</f>
        <v>0</v>
      </c>
      <c r="L60" s="127">
        <f>K60+I60+G60</f>
        <v>0</v>
      </c>
      <c r="M60" s="298"/>
    </row>
    <row r="61" spans="1:15" s="7" customFormat="1" ht="27">
      <c r="A61" s="738">
        <v>17</v>
      </c>
      <c r="B61" s="848" t="s">
        <v>426</v>
      </c>
      <c r="C61" s="347" t="s">
        <v>156</v>
      </c>
      <c r="D61" s="858"/>
      <c r="E61" s="883">
        <v>464.14</v>
      </c>
      <c r="F61" s="883"/>
      <c r="G61" s="741"/>
      <c r="H61" s="883"/>
      <c r="I61" s="741"/>
      <c r="J61" s="883"/>
      <c r="K61" s="741"/>
      <c r="L61" s="788"/>
      <c r="M61" s="355"/>
      <c r="N61" s="303"/>
      <c r="O61" s="303"/>
    </row>
    <row r="62" spans="1:15" s="256" customFormat="1" ht="15.75">
      <c r="A62" s="742"/>
      <c r="B62" s="768" t="s">
        <v>388</v>
      </c>
      <c r="C62" s="742" t="s">
        <v>51</v>
      </c>
      <c r="D62" s="752">
        <v>1.8</v>
      </c>
      <c r="E62" s="753">
        <f>D62*E61</f>
        <v>835.452</v>
      </c>
      <c r="F62" s="753"/>
      <c r="G62" s="746"/>
      <c r="H62" s="753"/>
      <c r="I62" s="746"/>
      <c r="J62" s="753"/>
      <c r="K62" s="73">
        <f>J62*E62</f>
        <v>0</v>
      </c>
      <c r="L62" s="127">
        <f>K62+I62+G62</f>
        <v>0</v>
      </c>
      <c r="M62" s="298"/>
    </row>
    <row r="63" spans="1:15" s="206" customFormat="1">
      <c r="A63" s="742"/>
      <c r="B63" s="768"/>
      <c r="C63" s="742"/>
      <c r="D63" s="832"/>
      <c r="E63" s="797"/>
      <c r="F63" s="753"/>
      <c r="G63" s="752"/>
      <c r="H63" s="753"/>
      <c r="I63" s="746"/>
      <c r="J63" s="753"/>
      <c r="K63" s="753"/>
      <c r="L63" s="746"/>
      <c r="M63" s="298"/>
    </row>
    <row r="64" spans="1:15" s="206" customFormat="1">
      <c r="A64" s="515"/>
      <c r="B64" s="508" t="s">
        <v>217</v>
      </c>
      <c r="C64" s="122"/>
      <c r="D64" s="133"/>
      <c r="E64" s="134"/>
      <c r="F64" s="125"/>
      <c r="G64" s="73"/>
      <c r="H64" s="125"/>
      <c r="I64" s="73"/>
      <c r="J64" s="125"/>
      <c r="K64" s="73"/>
      <c r="L64" s="73"/>
      <c r="M64" s="298"/>
    </row>
    <row r="65" spans="1:17" s="308" customFormat="1">
      <c r="A65" s="966"/>
      <c r="B65" s="394" t="s">
        <v>285</v>
      </c>
      <c r="C65" s="122"/>
      <c r="D65" s="133"/>
      <c r="E65" s="134"/>
      <c r="F65" s="125"/>
      <c r="G65" s="73"/>
      <c r="H65" s="125"/>
      <c r="I65" s="73"/>
      <c r="J65" s="125"/>
      <c r="K65" s="73"/>
      <c r="L65" s="73"/>
      <c r="M65" s="298"/>
    </row>
    <row r="66" spans="1:17" s="12" customFormat="1" ht="77.45" customHeight="1">
      <c r="A66" s="472">
        <v>18</v>
      </c>
      <c r="B66" s="339" t="s">
        <v>342</v>
      </c>
      <c r="C66" s="347" t="s">
        <v>51</v>
      </c>
      <c r="D66" s="347"/>
      <c r="E66" s="473">
        <v>0.7</v>
      </c>
      <c r="F66" s="353"/>
      <c r="G66" s="354"/>
      <c r="H66" s="353"/>
      <c r="I66" s="354"/>
      <c r="J66" s="353"/>
      <c r="K66" s="354"/>
      <c r="L66" s="354"/>
      <c r="M66" s="72"/>
      <c r="N66" s="72"/>
      <c r="O66" s="72"/>
    </row>
    <row r="67" spans="1:17" s="77" customFormat="1">
      <c r="A67" s="117"/>
      <c r="B67" s="121" t="s">
        <v>76</v>
      </c>
      <c r="C67" s="966" t="s">
        <v>51</v>
      </c>
      <c r="D67" s="118">
        <v>1</v>
      </c>
      <c r="E67" s="124">
        <f>D67*E66</f>
        <v>0.7</v>
      </c>
      <c r="F67" s="135"/>
      <c r="G67" s="136"/>
      <c r="H67" s="799"/>
      <c r="I67" s="127">
        <f>H67*E67</f>
        <v>0</v>
      </c>
      <c r="J67" s="135"/>
      <c r="K67" s="136"/>
      <c r="L67" s="127">
        <f t="shared" ref="L67:L74" si="0">K67+I67+G67</f>
        <v>0</v>
      </c>
      <c r="M67" s="298"/>
      <c r="N67" s="206"/>
      <c r="O67" s="206"/>
    </row>
    <row r="68" spans="1:17" s="6" customFormat="1" ht="15.75">
      <c r="A68" s="966"/>
      <c r="B68" s="55" t="s">
        <v>286</v>
      </c>
      <c r="C68" s="122" t="s">
        <v>51</v>
      </c>
      <c r="D68" s="631"/>
      <c r="E68" s="125">
        <v>6.3E-2</v>
      </c>
      <c r="F68" s="125"/>
      <c r="G68" s="127">
        <f t="shared" ref="G68:G74" si="1">F68*E68</f>
        <v>0</v>
      </c>
      <c r="H68" s="104"/>
      <c r="I68" s="136"/>
      <c r="J68" s="135"/>
      <c r="K68" s="136"/>
      <c r="L68" s="127">
        <f t="shared" si="0"/>
        <v>0</v>
      </c>
      <c r="M68" s="256"/>
      <c r="N68" s="256"/>
      <c r="O68" s="256"/>
    </row>
    <row r="69" spans="1:17" s="13" customFormat="1" ht="15">
      <c r="A69" s="966"/>
      <c r="B69" s="121" t="s">
        <v>287</v>
      </c>
      <c r="C69" s="122" t="s">
        <v>51</v>
      </c>
      <c r="D69" s="133"/>
      <c r="E69" s="134">
        <v>0.19400000000000001</v>
      </c>
      <c r="F69" s="125"/>
      <c r="G69" s="127">
        <f t="shared" si="1"/>
        <v>0</v>
      </c>
      <c r="H69" s="104"/>
      <c r="I69" s="136"/>
      <c r="J69" s="135"/>
      <c r="K69" s="136"/>
      <c r="L69" s="127">
        <f t="shared" si="0"/>
        <v>0</v>
      </c>
      <c r="M69" s="197"/>
      <c r="N69" s="197"/>
      <c r="O69" s="197"/>
    </row>
    <row r="70" spans="1:17" s="206" customFormat="1">
      <c r="A70" s="180"/>
      <c r="B70" s="55" t="s">
        <v>421</v>
      </c>
      <c r="C70" s="966" t="s">
        <v>51</v>
      </c>
      <c r="D70" s="796"/>
      <c r="E70" s="104">
        <v>7.5999999999999998E-2</v>
      </c>
      <c r="F70" s="225"/>
      <c r="G70" s="127">
        <f t="shared" si="1"/>
        <v>0</v>
      </c>
      <c r="H70" s="104"/>
      <c r="I70" s="136"/>
      <c r="J70" s="135"/>
      <c r="K70" s="136"/>
      <c r="L70" s="127">
        <f t="shared" si="0"/>
        <v>0</v>
      </c>
      <c r="M70" s="298"/>
    </row>
    <row r="71" spans="1:17" s="77" customFormat="1">
      <c r="A71" s="117"/>
      <c r="B71" s="55" t="s">
        <v>288</v>
      </c>
      <c r="C71" s="966" t="s">
        <v>51</v>
      </c>
      <c r="D71" s="118"/>
      <c r="E71" s="124">
        <v>0.78142999999999996</v>
      </c>
      <c r="F71" s="135"/>
      <c r="G71" s="127">
        <f t="shared" si="1"/>
        <v>0</v>
      </c>
      <c r="H71" s="104"/>
      <c r="I71" s="798"/>
      <c r="J71" s="135"/>
      <c r="K71" s="136"/>
      <c r="L71" s="127">
        <f t="shared" si="0"/>
        <v>0</v>
      </c>
      <c r="M71" s="298"/>
      <c r="N71" s="206"/>
      <c r="O71" s="206"/>
    </row>
    <row r="72" spans="1:17" s="77" customFormat="1">
      <c r="A72" s="117"/>
      <c r="B72" s="121" t="s">
        <v>291</v>
      </c>
      <c r="C72" s="966" t="s">
        <v>51</v>
      </c>
      <c r="D72" s="631"/>
      <c r="E72" s="104">
        <v>1.6E-2</v>
      </c>
      <c r="F72" s="104"/>
      <c r="G72" s="127">
        <f t="shared" si="1"/>
        <v>0</v>
      </c>
      <c r="H72" s="104"/>
      <c r="I72" s="136"/>
      <c r="J72" s="135"/>
      <c r="K72" s="136"/>
      <c r="L72" s="127">
        <f t="shared" si="0"/>
        <v>0</v>
      </c>
      <c r="M72" s="298"/>
      <c r="N72" s="206"/>
      <c r="O72" s="206"/>
    </row>
    <row r="73" spans="1:17" s="77" customFormat="1">
      <c r="A73" s="117"/>
      <c r="B73" s="121" t="s">
        <v>289</v>
      </c>
      <c r="C73" s="966" t="s">
        <v>51</v>
      </c>
      <c r="D73" s="631"/>
      <c r="E73" s="104">
        <v>9.7699999999999995E-2</v>
      </c>
      <c r="F73" s="178"/>
      <c r="G73" s="127">
        <f t="shared" si="1"/>
        <v>0</v>
      </c>
      <c r="H73" s="104"/>
      <c r="I73" s="136"/>
      <c r="J73" s="135"/>
      <c r="K73" s="136"/>
      <c r="L73" s="127">
        <f t="shared" si="0"/>
        <v>0</v>
      </c>
      <c r="M73" s="298"/>
      <c r="N73" s="206"/>
      <c r="O73" s="206"/>
    </row>
    <row r="74" spans="1:17" s="77" customFormat="1">
      <c r="A74" s="117"/>
      <c r="B74" s="176" t="s">
        <v>59</v>
      </c>
      <c r="C74" s="165" t="s">
        <v>60</v>
      </c>
      <c r="D74" s="631">
        <v>20</v>
      </c>
      <c r="E74" s="104">
        <f>D74*E66</f>
        <v>14</v>
      </c>
      <c r="F74" s="125"/>
      <c r="G74" s="127">
        <f t="shared" si="1"/>
        <v>0</v>
      </c>
      <c r="H74" s="104"/>
      <c r="I74" s="136"/>
      <c r="J74" s="135"/>
      <c r="K74" s="136"/>
      <c r="L74" s="127">
        <f t="shared" si="0"/>
        <v>0</v>
      </c>
      <c r="M74" s="298"/>
      <c r="N74" s="206"/>
      <c r="O74" s="206"/>
    </row>
    <row r="75" spans="1:17" s="77" customFormat="1" ht="15.75">
      <c r="A75" s="117"/>
      <c r="B75" s="176" t="s">
        <v>58</v>
      </c>
      <c r="C75" s="971" t="s">
        <v>151</v>
      </c>
      <c r="D75" s="631"/>
      <c r="E75" s="104">
        <v>0.77</v>
      </c>
      <c r="F75" s="125"/>
      <c r="G75" s="127">
        <f t="shared" ref="G75" si="2">F75*E75</f>
        <v>0</v>
      </c>
      <c r="H75" s="104"/>
      <c r="I75" s="136"/>
      <c r="J75" s="135"/>
      <c r="K75" s="136"/>
      <c r="L75" s="127">
        <f t="shared" ref="L75" si="3">K75+I75+G75</f>
        <v>0</v>
      </c>
      <c r="M75" s="298"/>
      <c r="N75" s="206"/>
      <c r="O75" s="206"/>
    </row>
    <row r="76" spans="1:17" s="1" customFormat="1" ht="40.5">
      <c r="A76" s="738">
        <v>19</v>
      </c>
      <c r="B76" s="804" t="s">
        <v>141</v>
      </c>
      <c r="C76" s="738" t="s">
        <v>52</v>
      </c>
      <c r="D76" s="805"/>
      <c r="E76" s="806">
        <v>22.93</v>
      </c>
      <c r="F76" s="741"/>
      <c r="G76" s="769"/>
      <c r="H76" s="741"/>
      <c r="I76" s="769"/>
      <c r="J76" s="741"/>
      <c r="K76" s="769"/>
      <c r="L76" s="769"/>
      <c r="M76" s="391"/>
      <c r="N76" s="391"/>
      <c r="O76" s="391"/>
      <c r="P76" s="391"/>
      <c r="Q76" s="391"/>
    </row>
    <row r="77" spans="1:17" s="1" customFormat="1" ht="15.75">
      <c r="A77" s="742"/>
      <c r="B77" s="743" t="s">
        <v>45</v>
      </c>
      <c r="C77" s="742" t="s">
        <v>150</v>
      </c>
      <c r="D77" s="744">
        <v>1</v>
      </c>
      <c r="E77" s="744">
        <f>D77*E76</f>
        <v>22.93</v>
      </c>
      <c r="F77" s="742"/>
      <c r="G77" s="742"/>
      <c r="H77" s="746"/>
      <c r="I77" s="746">
        <f>H77*E77</f>
        <v>0</v>
      </c>
      <c r="J77" s="742"/>
      <c r="K77" s="746"/>
      <c r="L77" s="746">
        <f>K77+I77+G77</f>
        <v>0</v>
      </c>
      <c r="M77" s="391"/>
      <c r="N77" s="391"/>
      <c r="O77" s="391"/>
      <c r="P77" s="391"/>
      <c r="Q77" s="391"/>
    </row>
    <row r="78" spans="1:17" s="1" customFormat="1" ht="15">
      <c r="A78" s="742"/>
      <c r="B78" s="743" t="s">
        <v>53</v>
      </c>
      <c r="C78" s="744" t="s">
        <v>2</v>
      </c>
      <c r="D78" s="766">
        <v>2.9999999999999997E-4</v>
      </c>
      <c r="E78" s="767">
        <f>D78*E76</f>
        <v>6.8789999999999997E-3</v>
      </c>
      <c r="F78" s="742"/>
      <c r="G78" s="742"/>
      <c r="H78" s="742"/>
      <c r="I78" s="742"/>
      <c r="J78" s="746"/>
      <c r="K78" s="746">
        <f>E78*J78</f>
        <v>0</v>
      </c>
      <c r="L78" s="746">
        <f>K78+I78+G78</f>
        <v>0</v>
      </c>
      <c r="M78" s="391"/>
      <c r="N78" s="391"/>
      <c r="O78" s="391"/>
      <c r="P78" s="391"/>
      <c r="Q78" s="391"/>
    </row>
    <row r="79" spans="1:17" s="1" customFormat="1" ht="27">
      <c r="A79" s="742"/>
      <c r="B79" s="55" t="s">
        <v>383</v>
      </c>
      <c r="C79" s="800" t="s">
        <v>60</v>
      </c>
      <c r="D79" s="317">
        <f>(25.1+0.2+2.7)*0.01</f>
        <v>0.28000000000000003</v>
      </c>
      <c r="E79" s="1047">
        <f>D79*E76</f>
        <v>6.4204000000000008</v>
      </c>
      <c r="F79" s="125"/>
      <c r="G79" s="746">
        <f>F79*E79</f>
        <v>0</v>
      </c>
      <c r="H79" s="746"/>
      <c r="I79" s="749"/>
      <c r="J79" s="746"/>
      <c r="K79" s="749"/>
      <c r="L79" s="746">
        <f>K79+I79+G79</f>
        <v>0</v>
      </c>
      <c r="M79" s="391"/>
      <c r="N79" s="391"/>
      <c r="O79" s="391"/>
      <c r="P79" s="391"/>
      <c r="Q79" s="391"/>
    </row>
    <row r="80" spans="1:17" s="391" customFormat="1" ht="21.95" customHeight="1">
      <c r="A80" s="742"/>
      <c r="B80" s="763" t="s">
        <v>73</v>
      </c>
      <c r="C80" s="801" t="s">
        <v>60</v>
      </c>
      <c r="D80" s="802">
        <v>0.15</v>
      </c>
      <c r="E80" s="803">
        <f>D80*E76</f>
        <v>3.4394999999999998</v>
      </c>
      <c r="F80" s="746"/>
      <c r="G80" s="746">
        <f>F80*E80</f>
        <v>0</v>
      </c>
      <c r="H80" s="742"/>
      <c r="I80" s="746"/>
      <c r="J80" s="742"/>
      <c r="K80" s="742"/>
      <c r="L80" s="746">
        <f>K80+I80+G80</f>
        <v>0</v>
      </c>
    </row>
    <row r="81" spans="1:17" s="1" customFormat="1" ht="15">
      <c r="A81" s="742"/>
      <c r="B81" s="743" t="s">
        <v>54</v>
      </c>
      <c r="C81" s="744" t="s">
        <v>2</v>
      </c>
      <c r="D81" s="766">
        <v>1.9E-3</v>
      </c>
      <c r="E81" s="767">
        <f>D81*E76</f>
        <v>4.3567000000000002E-2</v>
      </c>
      <c r="F81" s="746"/>
      <c r="G81" s="746">
        <f>F81*E81</f>
        <v>0</v>
      </c>
      <c r="H81" s="742"/>
      <c r="I81" s="742"/>
      <c r="J81" s="742"/>
      <c r="K81" s="742"/>
      <c r="L81" s="746">
        <f>K81+I81+G81</f>
        <v>0</v>
      </c>
      <c r="M81" s="391"/>
      <c r="N81" s="391"/>
      <c r="O81" s="391"/>
      <c r="P81" s="391"/>
      <c r="Q81" s="391"/>
    </row>
    <row r="82" spans="1:17" s="479" customFormat="1" ht="27" customHeight="1">
      <c r="A82" s="403">
        <v>20</v>
      </c>
      <c r="B82" s="403" t="s">
        <v>292</v>
      </c>
      <c r="C82" s="738" t="s">
        <v>52</v>
      </c>
      <c r="D82" s="403"/>
      <c r="E82" s="478">
        <v>83.7</v>
      </c>
      <c r="F82" s="425"/>
      <c r="G82" s="425"/>
      <c r="H82" s="425"/>
      <c r="I82" s="425"/>
      <c r="J82" s="425"/>
      <c r="K82" s="425"/>
      <c r="L82" s="425"/>
    </row>
    <row r="83" spans="1:17" s="1" customFormat="1" ht="15.75">
      <c r="A83" s="742"/>
      <c r="B83" s="743" t="s">
        <v>45</v>
      </c>
      <c r="C83" s="966" t="s">
        <v>165</v>
      </c>
      <c r="D83" s="744">
        <v>1</v>
      </c>
      <c r="E83" s="744">
        <f>D83*E82</f>
        <v>83.7</v>
      </c>
      <c r="F83" s="742"/>
      <c r="G83" s="742"/>
      <c r="H83" s="746"/>
      <c r="I83" s="746">
        <f>H83*E83</f>
        <v>0</v>
      </c>
      <c r="J83" s="742"/>
      <c r="K83" s="746"/>
      <c r="L83" s="746">
        <f>K83+I83+G83</f>
        <v>0</v>
      </c>
      <c r="M83" s="391"/>
      <c r="N83" s="391"/>
      <c r="O83" s="391"/>
      <c r="P83" s="391"/>
      <c r="Q83" s="391"/>
    </row>
    <row r="84" spans="1:17" s="480" customFormat="1" ht="27">
      <c r="A84" s="392"/>
      <c r="B84" s="455" t="s">
        <v>294</v>
      </c>
      <c r="C84" s="456" t="s">
        <v>293</v>
      </c>
      <c r="D84" s="471"/>
      <c r="E84" s="464">
        <v>1</v>
      </c>
      <c r="F84" s="393"/>
      <c r="G84" s="393"/>
      <c r="H84" s="393"/>
      <c r="I84" s="393"/>
      <c r="J84" s="393"/>
      <c r="K84" s="393">
        <f>J84*E84</f>
        <v>0</v>
      </c>
      <c r="L84" s="746">
        <f>K84+I84+G84</f>
        <v>0</v>
      </c>
    </row>
    <row r="85" spans="1:17" s="480" customFormat="1" ht="15">
      <c r="A85" s="742"/>
      <c r="B85" s="743" t="s">
        <v>59</v>
      </c>
      <c r="C85" s="744" t="s">
        <v>60</v>
      </c>
      <c r="D85" s="766"/>
      <c r="E85" s="767">
        <v>11.1</v>
      </c>
      <c r="F85" s="746"/>
      <c r="G85" s="127">
        <f>E85*F85</f>
        <v>0</v>
      </c>
      <c r="H85" s="135"/>
      <c r="I85" s="136"/>
      <c r="J85" s="135"/>
      <c r="K85" s="136"/>
      <c r="L85" s="73">
        <f>K85+I85+G85</f>
        <v>0</v>
      </c>
    </row>
    <row r="86" spans="1:17" s="302" customFormat="1" ht="25.5">
      <c r="A86" s="501">
        <v>21</v>
      </c>
      <c r="B86" s="491" t="s">
        <v>284</v>
      </c>
      <c r="C86" s="347" t="s">
        <v>160</v>
      </c>
      <c r="D86" s="502"/>
      <c r="E86" s="473">
        <v>83.7</v>
      </c>
      <c r="F86" s="473"/>
      <c r="G86" s="795"/>
      <c r="H86" s="473"/>
      <c r="I86" s="503"/>
      <c r="J86" s="473"/>
      <c r="K86" s="503"/>
      <c r="L86" s="503"/>
      <c r="M86" s="355"/>
    </row>
    <row r="87" spans="1:17" s="77" customFormat="1" ht="15.75">
      <c r="A87" s="966"/>
      <c r="B87" s="121" t="s">
        <v>76</v>
      </c>
      <c r="C87" s="966" t="s">
        <v>150</v>
      </c>
      <c r="D87" s="631">
        <v>1</v>
      </c>
      <c r="E87" s="125">
        <f>E86*D87</f>
        <v>83.7</v>
      </c>
      <c r="F87" s="125"/>
      <c r="G87" s="73"/>
      <c r="H87" s="125"/>
      <c r="I87" s="73">
        <f>H87*E87</f>
        <v>0</v>
      </c>
      <c r="J87" s="125"/>
      <c r="K87" s="73"/>
      <c r="L87" s="73">
        <f t="shared" ref="L87:L93" si="4">K87+I87+G87</f>
        <v>0</v>
      </c>
      <c r="M87" s="298"/>
      <c r="N87" s="206"/>
      <c r="O87" s="206"/>
    </row>
    <row r="88" spans="1:17" s="77" customFormat="1">
      <c r="A88" s="117"/>
      <c r="B88" s="121" t="s">
        <v>48</v>
      </c>
      <c r="C88" s="966" t="s">
        <v>2</v>
      </c>
      <c r="D88" s="631">
        <v>3.3999999999999998E-3</v>
      </c>
      <c r="E88" s="104">
        <f>D88*E86</f>
        <v>0.28458</v>
      </c>
      <c r="F88" s="103"/>
      <c r="G88" s="127"/>
      <c r="H88" s="104"/>
      <c r="I88" s="136"/>
      <c r="J88" s="104"/>
      <c r="K88" s="127">
        <f>J88*E88</f>
        <v>0</v>
      </c>
      <c r="L88" s="127">
        <f t="shared" si="4"/>
        <v>0</v>
      </c>
      <c r="M88" s="298"/>
      <c r="N88" s="206"/>
      <c r="O88" s="206"/>
    </row>
    <row r="89" spans="1:17" s="77" customFormat="1" ht="27">
      <c r="A89" s="966"/>
      <c r="B89" s="121" t="s">
        <v>343</v>
      </c>
      <c r="C89" s="966" t="s">
        <v>150</v>
      </c>
      <c r="D89" s="123">
        <v>1.1000000000000001</v>
      </c>
      <c r="E89" s="124">
        <f>D89*E86</f>
        <v>92.070000000000007</v>
      </c>
      <c r="F89" s="103"/>
      <c r="G89" s="127">
        <f>E89*F89</f>
        <v>0</v>
      </c>
      <c r="H89" s="135"/>
      <c r="I89" s="136"/>
      <c r="J89" s="135"/>
      <c r="K89" s="136"/>
      <c r="L89" s="73">
        <f t="shared" si="4"/>
        <v>0</v>
      </c>
      <c r="M89" s="298"/>
      <c r="N89" s="206"/>
      <c r="O89" s="206"/>
    </row>
    <row r="90" spans="1:17" s="77" customFormat="1" ht="27">
      <c r="A90" s="655"/>
      <c r="B90" s="868" t="s">
        <v>397</v>
      </c>
      <c r="C90" s="971" t="s">
        <v>150</v>
      </c>
      <c r="D90" s="873"/>
      <c r="E90" s="874">
        <v>34.15</v>
      </c>
      <c r="F90" s="862"/>
      <c r="G90" s="127">
        <f>E90*F90</f>
        <v>0</v>
      </c>
      <c r="H90" s="135"/>
      <c r="I90" s="136"/>
      <c r="J90" s="135"/>
      <c r="K90" s="136"/>
      <c r="L90" s="73">
        <f>K90+I90+G90</f>
        <v>0</v>
      </c>
      <c r="M90" s="298"/>
      <c r="N90" s="206"/>
      <c r="O90" s="206"/>
    </row>
    <row r="91" spans="1:17" s="197" customFormat="1" ht="27">
      <c r="A91" s="750"/>
      <c r="B91" s="763" t="s">
        <v>68</v>
      </c>
      <c r="C91" s="750" t="s">
        <v>60</v>
      </c>
      <c r="D91" s="786">
        <v>0.05</v>
      </c>
      <c r="E91" s="781">
        <f>D91*E82</f>
        <v>4.1850000000000005</v>
      </c>
      <c r="F91" s="781"/>
      <c r="G91" s="756">
        <f>F91*E91</f>
        <v>0</v>
      </c>
      <c r="H91" s="781"/>
      <c r="I91" s="756"/>
      <c r="J91" s="781"/>
      <c r="K91" s="756"/>
      <c r="L91" s="756">
        <f t="shared" si="4"/>
        <v>0</v>
      </c>
      <c r="M91" s="298"/>
    </row>
    <row r="92" spans="1:17" s="77" customFormat="1">
      <c r="A92" s="966"/>
      <c r="B92" s="121" t="s">
        <v>61</v>
      </c>
      <c r="C92" s="750" t="s">
        <v>60</v>
      </c>
      <c r="D92" s="133">
        <v>0.02</v>
      </c>
      <c r="E92" s="134">
        <f>D92*E86</f>
        <v>1.6740000000000002</v>
      </c>
      <c r="F92" s="336"/>
      <c r="G92" s="756">
        <f>F92*E92</f>
        <v>0</v>
      </c>
      <c r="H92" s="781"/>
      <c r="I92" s="756"/>
      <c r="J92" s="781"/>
      <c r="K92" s="756"/>
      <c r="L92" s="756">
        <f t="shared" si="4"/>
        <v>0</v>
      </c>
      <c r="M92" s="298"/>
      <c r="N92" s="206"/>
      <c r="O92" s="206"/>
    </row>
    <row r="93" spans="1:17" s="77" customFormat="1">
      <c r="A93" s="117"/>
      <c r="B93" s="121" t="s">
        <v>54</v>
      </c>
      <c r="C93" s="122" t="s">
        <v>2</v>
      </c>
      <c r="D93" s="118">
        <v>3.8600000000000002E-2</v>
      </c>
      <c r="E93" s="104">
        <f>D93*E86</f>
        <v>3.2308200000000005</v>
      </c>
      <c r="F93" s="104"/>
      <c r="G93" s="127">
        <f>E93*F93</f>
        <v>0</v>
      </c>
      <c r="H93" s="135"/>
      <c r="I93" s="136"/>
      <c r="J93" s="135"/>
      <c r="K93" s="136"/>
      <c r="L93" s="73">
        <f t="shared" si="4"/>
        <v>0</v>
      </c>
      <c r="M93" s="298"/>
      <c r="N93" s="206"/>
      <c r="O93" s="206"/>
    </row>
    <row r="94" spans="1:17" s="808" customFormat="1" ht="27">
      <c r="A94" s="403">
        <v>22</v>
      </c>
      <c r="B94" s="451" t="s">
        <v>320</v>
      </c>
      <c r="C94" s="347" t="s">
        <v>160</v>
      </c>
      <c r="D94" s="502"/>
      <c r="E94" s="473">
        <v>83.7</v>
      </c>
      <c r="F94" s="807"/>
      <c r="G94" s="425"/>
      <c r="H94" s="425"/>
      <c r="I94" s="425"/>
      <c r="J94" s="425"/>
      <c r="K94" s="425"/>
      <c r="L94" s="425"/>
    </row>
    <row r="95" spans="1:17" s="13" customFormat="1" ht="15">
      <c r="A95" s="995"/>
      <c r="B95" s="972" t="s">
        <v>389</v>
      </c>
      <c r="C95" s="171"/>
      <c r="D95" s="631"/>
      <c r="E95" s="124"/>
      <c r="F95" s="125"/>
      <c r="G95" s="73"/>
      <c r="H95" s="125"/>
      <c r="I95" s="73"/>
      <c r="J95" s="125"/>
      <c r="K95" s="73"/>
      <c r="L95" s="73"/>
      <c r="M95" s="197"/>
      <c r="N95" s="197"/>
      <c r="O95" s="197"/>
    </row>
    <row r="96" spans="1:17" s="14" customFormat="1" ht="27">
      <c r="A96" s="403">
        <v>23</v>
      </c>
      <c r="B96" s="496" t="s">
        <v>332</v>
      </c>
      <c r="C96" s="347" t="s">
        <v>160</v>
      </c>
      <c r="D96" s="505"/>
      <c r="E96" s="506">
        <v>40</v>
      </c>
      <c r="F96" s="507"/>
      <c r="G96" s="425"/>
      <c r="H96" s="507"/>
      <c r="I96" s="425"/>
      <c r="J96" s="507"/>
      <c r="K96" s="425"/>
      <c r="L96" s="425"/>
      <c r="M96" s="205"/>
      <c r="N96" s="205"/>
      <c r="O96" s="205"/>
    </row>
    <row r="97" spans="1:15" s="13" customFormat="1" ht="15">
      <c r="A97" s="966"/>
      <c r="B97" s="972" t="s">
        <v>389</v>
      </c>
      <c r="C97" s="171"/>
      <c r="D97" s="631"/>
      <c r="E97" s="124"/>
      <c r="F97" s="125"/>
      <c r="G97" s="73"/>
      <c r="H97" s="125"/>
      <c r="I97" s="73"/>
      <c r="J97" s="125"/>
      <c r="K97" s="73"/>
      <c r="L97" s="73"/>
      <c r="M97" s="197"/>
      <c r="N97" s="197"/>
      <c r="O97" s="197"/>
    </row>
    <row r="98" spans="1:15" s="14" customFormat="1" ht="27">
      <c r="A98" s="784"/>
      <c r="B98" s="740" t="s">
        <v>401</v>
      </c>
      <c r="C98" s="976"/>
      <c r="D98" s="858"/>
      <c r="E98" s="882"/>
      <c r="F98" s="883"/>
      <c r="G98" s="741"/>
      <c r="H98" s="883"/>
      <c r="I98" s="741"/>
      <c r="J98" s="883"/>
      <c r="K98" s="741"/>
      <c r="L98" s="741"/>
      <c r="M98" s="205"/>
      <c r="N98" s="205"/>
      <c r="O98" s="205"/>
    </row>
    <row r="99" spans="1:15" s="13" customFormat="1" ht="15">
      <c r="A99" s="742"/>
      <c r="B99" s="972" t="s">
        <v>389</v>
      </c>
      <c r="C99" s="777"/>
      <c r="D99" s="752"/>
      <c r="E99" s="797"/>
      <c r="F99" s="753"/>
      <c r="G99" s="746"/>
      <c r="H99" s="753"/>
      <c r="I99" s="746"/>
      <c r="J99" s="753"/>
      <c r="K99" s="746"/>
      <c r="L99" s="746"/>
      <c r="M99" s="197"/>
      <c r="N99" s="197"/>
      <c r="O99" s="197"/>
    </row>
    <row r="100" spans="1:15" s="14" customFormat="1" ht="27">
      <c r="A100" s="738">
        <v>24</v>
      </c>
      <c r="B100" s="848" t="s">
        <v>333</v>
      </c>
      <c r="C100" s="738" t="s">
        <v>69</v>
      </c>
      <c r="D100" s="849"/>
      <c r="E100" s="850">
        <v>40</v>
      </c>
      <c r="F100" s="883"/>
      <c r="G100" s="788"/>
      <c r="H100" s="818"/>
      <c r="I100" s="788"/>
      <c r="J100" s="818"/>
      <c r="K100" s="788"/>
      <c r="L100" s="788"/>
      <c r="M100" s="205"/>
      <c r="N100" s="205"/>
      <c r="O100" s="205"/>
    </row>
    <row r="101" spans="1:15" s="206" customFormat="1">
      <c r="A101" s="750"/>
      <c r="B101" s="812" t="s">
        <v>45</v>
      </c>
      <c r="C101" s="742" t="s">
        <v>46</v>
      </c>
      <c r="D101" s="786">
        <v>0.74</v>
      </c>
      <c r="E101" s="781">
        <f>D101*E100</f>
        <v>29.6</v>
      </c>
      <c r="F101" s="755"/>
      <c r="G101" s="754"/>
      <c r="H101" s="753"/>
      <c r="I101" s="746">
        <f>H101*E101</f>
        <v>0</v>
      </c>
      <c r="J101" s="755"/>
      <c r="K101" s="754"/>
      <c r="L101" s="756">
        <f>K101+I101+G101</f>
        <v>0</v>
      </c>
      <c r="M101" s="298"/>
    </row>
    <row r="102" spans="1:15" s="490" customFormat="1">
      <c r="A102" s="742"/>
      <c r="B102" s="768" t="s">
        <v>53</v>
      </c>
      <c r="C102" s="744" t="s">
        <v>2</v>
      </c>
      <c r="D102" s="813">
        <v>6.6199999999999995E-2</v>
      </c>
      <c r="E102" s="792">
        <f>D102*E100</f>
        <v>2.6479999999999997</v>
      </c>
      <c r="F102" s="753"/>
      <c r="G102" s="746"/>
      <c r="H102" s="753"/>
      <c r="I102" s="746"/>
      <c r="J102" s="753"/>
      <c r="K102" s="746">
        <f>E102*J102</f>
        <v>0</v>
      </c>
      <c r="L102" s="746">
        <f>K102+I102+G102</f>
        <v>0</v>
      </c>
      <c r="M102" s="298"/>
    </row>
    <row r="103" spans="1:15" s="13" customFormat="1" ht="15">
      <c r="A103" s="742"/>
      <c r="B103" s="768" t="s">
        <v>463</v>
      </c>
      <c r="C103" s="742" t="s">
        <v>69</v>
      </c>
      <c r="D103" s="813"/>
      <c r="E103" s="792">
        <v>40</v>
      </c>
      <c r="F103" s="753"/>
      <c r="G103" s="756">
        <f>F103*E103</f>
        <v>0</v>
      </c>
      <c r="H103" s="781"/>
      <c r="I103" s="756"/>
      <c r="J103" s="781"/>
      <c r="K103" s="756"/>
      <c r="L103" s="756">
        <f>K103+I103+G103</f>
        <v>0</v>
      </c>
      <c r="M103" s="197"/>
      <c r="N103" s="197"/>
      <c r="O103" s="197"/>
    </row>
    <row r="104" spans="1:15" s="13" customFormat="1" ht="15">
      <c r="A104" s="742"/>
      <c r="B104" s="768" t="s">
        <v>453</v>
      </c>
      <c r="C104" s="742" t="s">
        <v>65</v>
      </c>
      <c r="D104" s="813"/>
      <c r="E104" s="792">
        <v>7</v>
      </c>
      <c r="F104" s="753"/>
      <c r="G104" s="756">
        <f>F104*E104</f>
        <v>0</v>
      </c>
      <c r="H104" s="781"/>
      <c r="I104" s="756"/>
      <c r="J104" s="781"/>
      <c r="K104" s="756"/>
      <c r="L104" s="756">
        <f>K104+I104+G104</f>
        <v>0</v>
      </c>
      <c r="M104" s="197"/>
      <c r="N104" s="197"/>
      <c r="O104" s="197"/>
    </row>
    <row r="105" spans="1:15" s="77" customFormat="1">
      <c r="A105" s="117"/>
      <c r="B105" s="121" t="s">
        <v>54</v>
      </c>
      <c r="C105" s="122" t="s">
        <v>2</v>
      </c>
      <c r="D105" s="118">
        <v>0.13300000000000001</v>
      </c>
      <c r="E105" s="104">
        <f>D105*E100</f>
        <v>5.32</v>
      </c>
      <c r="F105" s="104"/>
      <c r="G105" s="127">
        <f>E105*F105</f>
        <v>0</v>
      </c>
      <c r="H105" s="135"/>
      <c r="I105" s="136"/>
      <c r="J105" s="135"/>
      <c r="K105" s="136"/>
      <c r="L105" s="73">
        <f>K105+I105+G105</f>
        <v>0</v>
      </c>
      <c r="M105" s="298"/>
      <c r="N105" s="206"/>
      <c r="O105" s="206"/>
    </row>
    <row r="106" spans="1:15" s="811" customFormat="1" ht="27">
      <c r="A106" s="805">
        <v>25</v>
      </c>
      <c r="B106" s="804" t="s">
        <v>295</v>
      </c>
      <c r="C106" s="738" t="s">
        <v>160</v>
      </c>
      <c r="D106" s="805" t="s">
        <v>296</v>
      </c>
      <c r="E106" s="473">
        <v>83.7</v>
      </c>
      <c r="F106" s="738"/>
      <c r="G106" s="809"/>
      <c r="H106" s="809"/>
      <c r="I106" s="810"/>
      <c r="J106" s="810"/>
      <c r="K106" s="810"/>
      <c r="L106" s="788"/>
    </row>
    <row r="107" spans="1:15" s="206" customFormat="1">
      <c r="A107" s="750"/>
      <c r="B107" s="812" t="s">
        <v>45</v>
      </c>
      <c r="C107" s="742" t="s">
        <v>46</v>
      </c>
      <c r="D107" s="786">
        <v>0.73799999999999999</v>
      </c>
      <c r="E107" s="781">
        <f>D107*E106</f>
        <v>61.770600000000002</v>
      </c>
      <c r="F107" s="755"/>
      <c r="G107" s="754"/>
      <c r="H107" s="753"/>
      <c r="I107" s="746">
        <f>H107*E107</f>
        <v>0</v>
      </c>
      <c r="J107" s="755"/>
      <c r="K107" s="754"/>
      <c r="L107" s="756">
        <f>K107+I107+G107</f>
        <v>0</v>
      </c>
      <c r="M107" s="298"/>
    </row>
    <row r="108" spans="1:15" s="490" customFormat="1">
      <c r="A108" s="742"/>
      <c r="B108" s="768" t="s">
        <v>53</v>
      </c>
      <c r="C108" s="744" t="s">
        <v>2</v>
      </c>
      <c r="D108" s="813">
        <v>6.8999999999999999E-3</v>
      </c>
      <c r="E108" s="792">
        <f>D108*E106</f>
        <v>0.57752999999999999</v>
      </c>
      <c r="F108" s="753"/>
      <c r="G108" s="746"/>
      <c r="H108" s="753"/>
      <c r="I108" s="746"/>
      <c r="J108" s="753"/>
      <c r="K108" s="746">
        <f>E108*J108</f>
        <v>0</v>
      </c>
      <c r="L108" s="746">
        <f>K108+I108+G108</f>
        <v>0</v>
      </c>
      <c r="M108" s="298"/>
    </row>
    <row r="109" spans="1:15" s="197" customFormat="1" ht="15">
      <c r="A109" s="750"/>
      <c r="B109" s="763" t="s">
        <v>297</v>
      </c>
      <c r="C109" s="742" t="s">
        <v>51</v>
      </c>
      <c r="D109" s="752">
        <f>0.029*0.01</f>
        <v>2.9E-4</v>
      </c>
      <c r="E109" s="753">
        <f>D109*E106</f>
        <v>2.4272999999999999E-2</v>
      </c>
      <c r="F109" s="753"/>
      <c r="G109" s="756">
        <f>F109*E109</f>
        <v>0</v>
      </c>
      <c r="H109" s="753"/>
      <c r="I109" s="754"/>
      <c r="J109" s="755"/>
      <c r="K109" s="754"/>
      <c r="L109" s="756">
        <f>K109+I109+G109</f>
        <v>0</v>
      </c>
      <c r="M109" s="298"/>
    </row>
    <row r="110" spans="1:15" s="197" customFormat="1" ht="15.75">
      <c r="A110" s="750"/>
      <c r="B110" s="763" t="s">
        <v>298</v>
      </c>
      <c r="C110" s="750" t="s">
        <v>151</v>
      </c>
      <c r="D110" s="752">
        <f>0.008*0.01</f>
        <v>8.0000000000000007E-5</v>
      </c>
      <c r="E110" s="753">
        <f>D110*E106</f>
        <v>6.6960000000000006E-3</v>
      </c>
      <c r="F110" s="753"/>
      <c r="G110" s="756">
        <f>F110*E110</f>
        <v>0</v>
      </c>
      <c r="H110" s="753"/>
      <c r="I110" s="754"/>
      <c r="J110" s="755"/>
      <c r="K110" s="754"/>
      <c r="L110" s="756">
        <f>K110+I110+G110</f>
        <v>0</v>
      </c>
      <c r="M110" s="298"/>
    </row>
    <row r="111" spans="1:15" s="197" customFormat="1" ht="15.75">
      <c r="A111" s="750"/>
      <c r="B111" s="763" t="s">
        <v>299</v>
      </c>
      <c r="C111" s="742" t="s">
        <v>150</v>
      </c>
      <c r="D111" s="752">
        <f>5.5*0.01</f>
        <v>5.5E-2</v>
      </c>
      <c r="E111" s="753">
        <f>D111*E106</f>
        <v>4.6035000000000004</v>
      </c>
      <c r="F111" s="753"/>
      <c r="G111" s="756">
        <f>F111*E111</f>
        <v>0</v>
      </c>
      <c r="H111" s="753"/>
      <c r="I111" s="754"/>
      <c r="J111" s="755"/>
      <c r="K111" s="754"/>
      <c r="L111" s="756">
        <f>K111+I111+G111</f>
        <v>0</v>
      </c>
      <c r="M111" s="298"/>
    </row>
    <row r="112" spans="1:15" s="77" customFormat="1">
      <c r="A112" s="117"/>
      <c r="B112" s="121"/>
      <c r="C112" s="966"/>
      <c r="D112" s="133"/>
      <c r="E112" s="104"/>
      <c r="F112" s="104"/>
      <c r="G112" s="127"/>
      <c r="H112" s="104"/>
      <c r="I112" s="136"/>
      <c r="J112" s="135"/>
      <c r="K112" s="136"/>
      <c r="L112" s="127"/>
      <c r="M112" s="298"/>
      <c r="N112" s="206"/>
      <c r="O112" s="206"/>
    </row>
    <row r="113" spans="1:17" s="23" customFormat="1" ht="15">
      <c r="A113" s="515"/>
      <c r="B113" s="814" t="s">
        <v>301</v>
      </c>
      <c r="C113" s="165"/>
      <c r="D113" s="631"/>
      <c r="E113" s="104"/>
      <c r="F113" s="125"/>
      <c r="G113" s="73"/>
      <c r="H113" s="125"/>
      <c r="I113" s="73"/>
      <c r="J113" s="125"/>
      <c r="K113" s="73"/>
      <c r="L113" s="73"/>
      <c r="M113" s="298"/>
      <c r="N113" s="45"/>
      <c r="O113" s="45"/>
    </row>
    <row r="114" spans="1:17" s="205" customFormat="1" ht="27">
      <c r="A114" s="825">
        <v>26</v>
      </c>
      <c r="B114" s="848" t="s">
        <v>304</v>
      </c>
      <c r="C114" s="740" t="s">
        <v>65</v>
      </c>
      <c r="D114" s="849"/>
      <c r="E114" s="850">
        <v>70</v>
      </c>
      <c r="F114" s="851"/>
      <c r="G114" s="829"/>
      <c r="H114" s="851"/>
      <c r="I114" s="828"/>
      <c r="J114" s="851"/>
      <c r="K114" s="828"/>
      <c r="L114" s="828"/>
      <c r="M114" s="298"/>
    </row>
    <row r="115" spans="1:17" s="197" customFormat="1" ht="15">
      <c r="A115" s="742"/>
      <c r="B115" s="768" t="s">
        <v>45</v>
      </c>
      <c r="C115" s="744" t="s">
        <v>64</v>
      </c>
      <c r="D115" s="832">
        <v>0.42599999999999999</v>
      </c>
      <c r="E115" s="797">
        <f>D115*E114</f>
        <v>29.82</v>
      </c>
      <c r="F115" s="753"/>
      <c r="G115" s="746"/>
      <c r="H115" s="753"/>
      <c r="I115" s="746">
        <f>H115*E115</f>
        <v>0</v>
      </c>
      <c r="J115" s="753"/>
      <c r="K115" s="746"/>
      <c r="L115" s="746">
        <f>K115+I115+G115</f>
        <v>0</v>
      </c>
      <c r="M115" s="298"/>
    </row>
    <row r="116" spans="1:17" s="197" customFormat="1" ht="15">
      <c r="A116" s="833"/>
      <c r="B116" s="834" t="s">
        <v>303</v>
      </c>
      <c r="C116" s="835" t="s">
        <v>47</v>
      </c>
      <c r="D116" s="836">
        <v>0.215</v>
      </c>
      <c r="E116" s="837">
        <f>D116*E114</f>
        <v>15.049999999999999</v>
      </c>
      <c r="F116" s="838"/>
      <c r="G116" s="839"/>
      <c r="H116" s="838"/>
      <c r="I116" s="840"/>
      <c r="J116" s="841"/>
      <c r="K116" s="839">
        <f>E116*J116</f>
        <v>0</v>
      </c>
      <c r="L116" s="839">
        <f>K116+I116+G116</f>
        <v>0</v>
      </c>
      <c r="M116" s="298"/>
    </row>
    <row r="117" spans="1:17" s="197" customFormat="1" ht="15.75">
      <c r="A117" s="742"/>
      <c r="B117" s="842" t="s">
        <v>66</v>
      </c>
      <c r="C117" s="843" t="s">
        <v>2</v>
      </c>
      <c r="D117" s="844">
        <v>2.9999999999999997E-4</v>
      </c>
      <c r="E117" s="845">
        <f>D117*E114</f>
        <v>2.0999999999999998E-2</v>
      </c>
      <c r="F117" s="838"/>
      <c r="G117" s="839"/>
      <c r="H117" s="838"/>
      <c r="I117" s="839"/>
      <c r="J117" s="838"/>
      <c r="K117" s="839">
        <f>E117*J117</f>
        <v>0</v>
      </c>
      <c r="L117" s="839">
        <f>K117+I117+G117</f>
        <v>0</v>
      </c>
      <c r="M117" s="298"/>
    </row>
    <row r="118" spans="1:17" s="197" customFormat="1" ht="15">
      <c r="A118" s="821"/>
      <c r="B118" s="768" t="s">
        <v>305</v>
      </c>
      <c r="C118" s="744" t="s">
        <v>65</v>
      </c>
      <c r="D118" s="813">
        <v>2.52E-2</v>
      </c>
      <c r="E118" s="846">
        <f>D118*E114</f>
        <v>1.764</v>
      </c>
      <c r="F118" s="847"/>
      <c r="G118" s="819">
        <f>F118*E118</f>
        <v>0</v>
      </c>
      <c r="H118" s="847"/>
      <c r="I118" s="820"/>
      <c r="J118" s="847"/>
      <c r="K118" s="820"/>
      <c r="L118" s="820">
        <f>K118+I118+G118</f>
        <v>0</v>
      </c>
      <c r="M118" s="298"/>
    </row>
    <row r="119" spans="1:17" s="197" customFormat="1" ht="15">
      <c r="A119" s="821"/>
      <c r="B119" s="768" t="s">
        <v>54</v>
      </c>
      <c r="C119" s="744" t="s">
        <v>2</v>
      </c>
      <c r="D119" s="813">
        <v>2.8999999999999998E-3</v>
      </c>
      <c r="E119" s="792">
        <f>E114*D119</f>
        <v>0.20299999999999999</v>
      </c>
      <c r="F119" s="847"/>
      <c r="G119" s="819">
        <f>F119*E119</f>
        <v>0</v>
      </c>
      <c r="H119" s="847"/>
      <c r="I119" s="820"/>
      <c r="J119" s="847"/>
      <c r="K119" s="820"/>
      <c r="L119" s="820">
        <f>K119+I119+G119</f>
        <v>0</v>
      </c>
      <c r="M119" s="298"/>
    </row>
    <row r="120" spans="1:17" s="300" customFormat="1" ht="40.5">
      <c r="A120" s="775">
        <v>27</v>
      </c>
      <c r="B120" s="758" t="s">
        <v>302</v>
      </c>
      <c r="C120" s="738" t="s">
        <v>156</v>
      </c>
      <c r="D120" s="817"/>
      <c r="E120" s="818">
        <v>0.13170000000000001</v>
      </c>
      <c r="F120" s="818"/>
      <c r="G120" s="788"/>
      <c r="H120" s="818"/>
      <c r="I120" s="788"/>
      <c r="J120" s="818"/>
      <c r="K120" s="788"/>
      <c r="L120" s="788"/>
      <c r="M120" s="298"/>
    </row>
    <row r="121" spans="1:17" s="300" customFormat="1" ht="15.75">
      <c r="A121" s="750"/>
      <c r="B121" s="763" t="s">
        <v>55</v>
      </c>
      <c r="C121" s="742" t="s">
        <v>151</v>
      </c>
      <c r="D121" s="786">
        <v>1</v>
      </c>
      <c r="E121" s="781">
        <f>D121*E120</f>
        <v>0.13170000000000001</v>
      </c>
      <c r="F121" s="781"/>
      <c r="G121" s="756"/>
      <c r="H121" s="781"/>
      <c r="I121" s="756">
        <f>H121*E121</f>
        <v>0</v>
      </c>
      <c r="J121" s="781"/>
      <c r="K121" s="756"/>
      <c r="L121" s="756">
        <f>K121+I121+G121</f>
        <v>0</v>
      </c>
      <c r="M121" s="298"/>
    </row>
    <row r="122" spans="1:17" s="301" customFormat="1">
      <c r="A122" s="779"/>
      <c r="B122" s="751" t="s">
        <v>53</v>
      </c>
      <c r="C122" s="742" t="s">
        <v>2</v>
      </c>
      <c r="D122" s="780">
        <v>0.28299999999999997</v>
      </c>
      <c r="E122" s="794">
        <f>D122*E120</f>
        <v>3.7271100000000001E-2</v>
      </c>
      <c r="F122" s="794"/>
      <c r="G122" s="815"/>
      <c r="H122" s="794"/>
      <c r="I122" s="815"/>
      <c r="J122" s="794"/>
      <c r="K122" s="815">
        <f>J122*E122</f>
        <v>0</v>
      </c>
      <c r="L122" s="815">
        <f>K122+I122+G122</f>
        <v>0</v>
      </c>
      <c r="M122" s="298"/>
    </row>
    <row r="123" spans="1:17" s="300" customFormat="1" ht="15.75">
      <c r="A123" s="750"/>
      <c r="B123" s="763" t="s">
        <v>161</v>
      </c>
      <c r="C123" s="742" t="s">
        <v>151</v>
      </c>
      <c r="D123" s="786">
        <v>1.02</v>
      </c>
      <c r="E123" s="781">
        <f>D123*E120</f>
        <v>0.13433400000000001</v>
      </c>
      <c r="F123" s="781"/>
      <c r="G123" s="746">
        <f>F123*E123</f>
        <v>0</v>
      </c>
      <c r="H123" s="781"/>
      <c r="I123" s="756"/>
      <c r="J123" s="781"/>
      <c r="K123" s="756"/>
      <c r="L123" s="756">
        <f>K123+I123+G123</f>
        <v>0</v>
      </c>
      <c r="M123" s="298"/>
    </row>
    <row r="124" spans="1:17" s="301" customFormat="1">
      <c r="A124" s="779"/>
      <c r="B124" s="768" t="s">
        <v>54</v>
      </c>
      <c r="C124" s="742" t="s">
        <v>2</v>
      </c>
      <c r="D124" s="780">
        <v>0.62</v>
      </c>
      <c r="E124" s="794">
        <f>D124*E120</f>
        <v>8.1654000000000004E-2</v>
      </c>
      <c r="F124" s="794"/>
      <c r="G124" s="816">
        <f>F124*E124</f>
        <v>0</v>
      </c>
      <c r="H124" s="794"/>
      <c r="I124" s="815"/>
      <c r="J124" s="794"/>
      <c r="K124" s="815"/>
      <c r="L124" s="815">
        <f>K124+I124+G124</f>
        <v>0</v>
      </c>
      <c r="M124" s="298"/>
    </row>
    <row r="125" spans="1:17" s="1" customFormat="1" ht="54">
      <c r="A125" s="825">
        <v>28</v>
      </c>
      <c r="B125" s="826" t="s">
        <v>416</v>
      </c>
      <c r="C125" s="825" t="s">
        <v>44</v>
      </c>
      <c r="D125" s="827"/>
      <c r="E125" s="828">
        <v>0.35</v>
      </c>
      <c r="F125" s="829"/>
      <c r="G125" s="830"/>
      <c r="H125" s="829"/>
      <c r="I125" s="831"/>
      <c r="J125" s="829"/>
      <c r="K125" s="831"/>
      <c r="L125" s="831"/>
      <c r="M125" s="391"/>
      <c r="N125" s="391"/>
      <c r="O125" s="391"/>
      <c r="P125" s="391"/>
      <c r="Q125" s="391"/>
    </row>
    <row r="126" spans="1:17" s="1" customFormat="1" ht="15.75">
      <c r="A126" s="821"/>
      <c r="B126" s="743" t="s">
        <v>45</v>
      </c>
      <c r="C126" s="742" t="s">
        <v>151</v>
      </c>
      <c r="D126" s="744">
        <v>1</v>
      </c>
      <c r="E126" s="745">
        <f>E125*D126</f>
        <v>0.35</v>
      </c>
      <c r="F126" s="819"/>
      <c r="G126" s="819"/>
      <c r="H126" s="819"/>
      <c r="I126" s="820">
        <f>H126*E126</f>
        <v>0</v>
      </c>
      <c r="J126" s="819"/>
      <c r="K126" s="820"/>
      <c r="L126" s="820">
        <f t="shared" ref="L126:L133" si="5">K126+I126+G126</f>
        <v>0</v>
      </c>
      <c r="M126" s="391"/>
      <c r="N126" s="391"/>
      <c r="O126" s="391"/>
      <c r="P126" s="391"/>
      <c r="Q126" s="391"/>
    </row>
    <row r="127" spans="1:17" s="1" customFormat="1" ht="15">
      <c r="A127" s="821"/>
      <c r="B127" s="743" t="s">
        <v>53</v>
      </c>
      <c r="C127" s="744" t="s">
        <v>2</v>
      </c>
      <c r="D127" s="766">
        <v>1.7</v>
      </c>
      <c r="E127" s="767">
        <f>E125*D127</f>
        <v>0.59499999999999997</v>
      </c>
      <c r="F127" s="819"/>
      <c r="G127" s="819"/>
      <c r="H127" s="819"/>
      <c r="I127" s="820"/>
      <c r="J127" s="819"/>
      <c r="K127" s="820">
        <f>J127*E127</f>
        <v>0</v>
      </c>
      <c r="L127" s="820">
        <f t="shared" si="5"/>
        <v>0</v>
      </c>
      <c r="M127" s="391"/>
      <c r="N127" s="391"/>
      <c r="O127" s="391"/>
      <c r="P127" s="391"/>
      <c r="Q127" s="391"/>
    </row>
    <row r="128" spans="1:17" s="1" customFormat="1" ht="15.75">
      <c r="A128" s="821"/>
      <c r="B128" s="747" t="s">
        <v>137</v>
      </c>
      <c r="C128" s="744" t="s">
        <v>50</v>
      </c>
      <c r="D128" s="813">
        <v>1.0149999999999999</v>
      </c>
      <c r="E128" s="767">
        <f>E125*D128</f>
        <v>0.35524999999999995</v>
      </c>
      <c r="F128" s="417"/>
      <c r="G128" s="819">
        <f t="shared" ref="G128:G133" si="6">F128*E128</f>
        <v>0</v>
      </c>
      <c r="H128" s="819"/>
      <c r="I128" s="820"/>
      <c r="J128" s="819"/>
      <c r="K128" s="820"/>
      <c r="L128" s="820">
        <f t="shared" si="5"/>
        <v>0</v>
      </c>
      <c r="M128" s="391"/>
      <c r="N128" s="391"/>
      <c r="O128" s="391"/>
      <c r="P128" s="391"/>
      <c r="Q128" s="391"/>
    </row>
    <row r="129" spans="1:17" s="1" customFormat="1" ht="15">
      <c r="A129" s="821"/>
      <c r="B129" s="743" t="s">
        <v>62</v>
      </c>
      <c r="C129" s="744" t="s">
        <v>51</v>
      </c>
      <c r="D129" s="766"/>
      <c r="E129" s="822">
        <v>4.4999999999999998E-2</v>
      </c>
      <c r="F129" s="793"/>
      <c r="G129" s="819">
        <f t="shared" si="6"/>
        <v>0</v>
      </c>
      <c r="H129" s="819"/>
      <c r="I129" s="820"/>
      <c r="J129" s="819"/>
      <c r="K129" s="820"/>
      <c r="L129" s="820">
        <f t="shared" si="5"/>
        <v>0</v>
      </c>
      <c r="M129" s="391"/>
      <c r="N129" s="391"/>
      <c r="O129" s="391"/>
      <c r="P129" s="391"/>
      <c r="Q129" s="391"/>
    </row>
    <row r="130" spans="1:17" s="1" customFormat="1" ht="15.75">
      <c r="A130" s="821"/>
      <c r="B130" s="743" t="s">
        <v>382</v>
      </c>
      <c r="C130" s="742" t="s">
        <v>57</v>
      </c>
      <c r="D130" s="766"/>
      <c r="E130" s="822">
        <f>20*0.3</f>
        <v>6</v>
      </c>
      <c r="F130" s="793"/>
      <c r="G130" s="819">
        <f t="shared" si="6"/>
        <v>0</v>
      </c>
      <c r="H130" s="819"/>
      <c r="I130" s="820"/>
      <c r="J130" s="819"/>
      <c r="K130" s="820"/>
      <c r="L130" s="820">
        <f t="shared" si="5"/>
        <v>0</v>
      </c>
      <c r="M130" s="391"/>
      <c r="N130" s="391"/>
      <c r="O130" s="391"/>
      <c r="P130" s="391"/>
      <c r="Q130" s="391"/>
    </row>
    <row r="131" spans="1:17" s="197" customFormat="1" ht="27">
      <c r="A131" s="750"/>
      <c r="B131" s="768" t="s">
        <v>306</v>
      </c>
      <c r="C131" s="742" t="s">
        <v>65</v>
      </c>
      <c r="D131" s="752"/>
      <c r="E131" s="781">
        <v>3</v>
      </c>
      <c r="F131" s="781"/>
      <c r="G131" s="746">
        <f t="shared" si="6"/>
        <v>0</v>
      </c>
      <c r="H131" s="753"/>
      <c r="I131" s="746"/>
      <c r="J131" s="753"/>
      <c r="K131" s="746"/>
      <c r="L131" s="746">
        <f t="shared" si="5"/>
        <v>0</v>
      </c>
      <c r="M131" s="298"/>
    </row>
    <row r="132" spans="1:17" s="2" customFormat="1" ht="15.75">
      <c r="A132" s="779"/>
      <c r="B132" s="823" t="s">
        <v>58</v>
      </c>
      <c r="C132" s="742" t="s">
        <v>50</v>
      </c>
      <c r="D132" s="780">
        <v>0.02</v>
      </c>
      <c r="E132" s="780">
        <f>D132*E125</f>
        <v>6.9999999999999993E-3</v>
      </c>
      <c r="F132" s="824"/>
      <c r="G132" s="816">
        <f t="shared" si="6"/>
        <v>0</v>
      </c>
      <c r="H132" s="815"/>
      <c r="I132" s="815"/>
      <c r="J132" s="815"/>
      <c r="K132" s="815"/>
      <c r="L132" s="815">
        <f t="shared" si="5"/>
        <v>0</v>
      </c>
      <c r="M132" s="264"/>
      <c r="N132" s="264"/>
      <c r="O132" s="264"/>
      <c r="P132" s="264"/>
      <c r="Q132" s="264"/>
    </row>
    <row r="133" spans="1:17" s="1" customFormat="1" ht="15">
      <c r="A133" s="821"/>
      <c r="B133" s="743" t="s">
        <v>54</v>
      </c>
      <c r="C133" s="744" t="s">
        <v>2</v>
      </c>
      <c r="D133" s="766">
        <v>0.85</v>
      </c>
      <c r="E133" s="767">
        <f>E125*D133</f>
        <v>0.29749999999999999</v>
      </c>
      <c r="F133" s="819"/>
      <c r="G133" s="819">
        <f t="shared" si="6"/>
        <v>0</v>
      </c>
      <c r="H133" s="819"/>
      <c r="I133" s="820"/>
      <c r="J133" s="819"/>
      <c r="K133" s="820"/>
      <c r="L133" s="820">
        <f t="shared" si="5"/>
        <v>0</v>
      </c>
      <c r="M133" s="391"/>
      <c r="N133" s="391"/>
      <c r="O133" s="391"/>
      <c r="P133" s="391"/>
      <c r="Q133" s="391"/>
    </row>
    <row r="134" spans="1:17" s="13" customFormat="1" ht="27">
      <c r="A134" s="347">
        <v>29</v>
      </c>
      <c r="B134" s="339" t="s">
        <v>415</v>
      </c>
      <c r="C134" s="347" t="s">
        <v>51</v>
      </c>
      <c r="D134" s="489"/>
      <c r="E134" s="475">
        <f>6*15.7/1000</f>
        <v>9.4199999999999992E-2</v>
      </c>
      <c r="F134" s="353"/>
      <c r="G134" s="354"/>
      <c r="H134" s="353"/>
      <c r="I134" s="354"/>
      <c r="J134" s="353"/>
      <c r="K134" s="354"/>
      <c r="L134" s="354"/>
      <c r="M134" s="298"/>
      <c r="N134" s="197"/>
      <c r="O134" s="197"/>
    </row>
    <row r="135" spans="1:17" s="13" customFormat="1" ht="15">
      <c r="A135" s="967"/>
      <c r="B135" s="121" t="s">
        <v>45</v>
      </c>
      <c r="C135" s="967" t="s">
        <v>69</v>
      </c>
      <c r="D135" s="123"/>
      <c r="E135" s="124">
        <v>17.7</v>
      </c>
      <c r="F135" s="125"/>
      <c r="G135" s="73"/>
      <c r="H135" s="125"/>
      <c r="I135" s="73">
        <f>H135*E135</f>
        <v>0</v>
      </c>
      <c r="J135" s="125"/>
      <c r="K135" s="73"/>
      <c r="L135" s="73">
        <f>K135+I135+G135</f>
        <v>0</v>
      </c>
      <c r="M135" s="298"/>
      <c r="N135" s="197"/>
      <c r="O135" s="197"/>
    </row>
    <row r="136" spans="1:17" s="13" customFormat="1" ht="15">
      <c r="A136" s="117"/>
      <c r="B136" s="121" t="s">
        <v>53</v>
      </c>
      <c r="C136" s="967" t="s">
        <v>70</v>
      </c>
      <c r="D136" s="631">
        <v>4.07</v>
      </c>
      <c r="E136" s="104">
        <f>D136*E134</f>
        <v>0.38339400000000001</v>
      </c>
      <c r="F136" s="103"/>
      <c r="G136" s="156"/>
      <c r="H136" s="104"/>
      <c r="I136" s="136"/>
      <c r="J136" s="104"/>
      <c r="K136" s="127">
        <f>J136*E136</f>
        <v>0</v>
      </c>
      <c r="L136" s="127">
        <f>K136+I136+G136</f>
        <v>0</v>
      </c>
      <c r="M136" s="298"/>
      <c r="N136" s="197"/>
      <c r="O136" s="197"/>
    </row>
    <row r="137" spans="1:17" s="1" customFormat="1" ht="15.75">
      <c r="A137" s="821"/>
      <c r="B137" s="743" t="s">
        <v>429</v>
      </c>
      <c r="C137" s="742" t="s">
        <v>57</v>
      </c>
      <c r="D137" s="766"/>
      <c r="E137" s="822">
        <f>20*0.3</f>
        <v>6</v>
      </c>
      <c r="F137" s="793"/>
      <c r="G137" s="819">
        <f t="shared" ref="G137" si="7">F137*E137</f>
        <v>0</v>
      </c>
      <c r="H137" s="819"/>
      <c r="I137" s="820"/>
      <c r="J137" s="819"/>
      <c r="K137" s="820"/>
      <c r="L137" s="820">
        <f t="shared" ref="L137" si="8">K137+I137+G137</f>
        <v>0</v>
      </c>
      <c r="M137" s="391"/>
      <c r="N137" s="391"/>
      <c r="O137" s="391"/>
      <c r="P137" s="391"/>
      <c r="Q137" s="391"/>
    </row>
    <row r="138" spans="1:17" s="1" customFormat="1" ht="15">
      <c r="A138" s="821"/>
      <c r="B138" s="743" t="s">
        <v>59</v>
      </c>
      <c r="C138" s="742" t="s">
        <v>60</v>
      </c>
      <c r="D138" s="766">
        <v>15.2</v>
      </c>
      <c r="E138" s="822">
        <f>D138*E134</f>
        <v>1.4318399999999998</v>
      </c>
      <c r="F138" s="793"/>
      <c r="G138" s="127">
        <f>F138*E138</f>
        <v>0</v>
      </c>
      <c r="H138" s="104"/>
      <c r="I138" s="136"/>
      <c r="J138" s="135"/>
      <c r="K138" s="136"/>
      <c r="L138" s="127">
        <f>K138+I138+G138</f>
        <v>0</v>
      </c>
      <c r="M138" s="391"/>
      <c r="N138" s="391"/>
      <c r="O138" s="391"/>
      <c r="P138" s="391"/>
      <c r="Q138" s="391"/>
    </row>
    <row r="139" spans="1:17" s="13" customFormat="1" ht="15">
      <c r="A139" s="117"/>
      <c r="B139" s="157" t="s">
        <v>54</v>
      </c>
      <c r="C139" s="967" t="s">
        <v>2</v>
      </c>
      <c r="D139" s="631">
        <v>2.78</v>
      </c>
      <c r="E139" s="104">
        <f>D139*E134</f>
        <v>0.26187599999999994</v>
      </c>
      <c r="F139" s="104"/>
      <c r="G139" s="127">
        <f>F139*E139</f>
        <v>0</v>
      </c>
      <c r="H139" s="104"/>
      <c r="I139" s="136"/>
      <c r="J139" s="135"/>
      <c r="K139" s="136"/>
      <c r="L139" s="127">
        <f>K139+I139+G139</f>
        <v>0</v>
      </c>
      <c r="M139" s="298"/>
      <c r="N139" s="197"/>
      <c r="O139" s="197"/>
    </row>
    <row r="140" spans="1:17" s="13" customFormat="1" ht="40.5">
      <c r="A140" s="347">
        <v>30</v>
      </c>
      <c r="B140" s="339" t="s">
        <v>414</v>
      </c>
      <c r="C140" s="347" t="s">
        <v>51</v>
      </c>
      <c r="D140" s="489"/>
      <c r="E140" s="475">
        <f>0.208+0.329</f>
        <v>0.53700000000000003</v>
      </c>
      <c r="F140" s="353"/>
      <c r="G140" s="354"/>
      <c r="H140" s="353"/>
      <c r="I140" s="354"/>
      <c r="J140" s="353"/>
      <c r="K140" s="354"/>
      <c r="L140" s="354"/>
      <c r="M140" s="298"/>
      <c r="N140" s="197"/>
      <c r="O140" s="197"/>
    </row>
    <row r="141" spans="1:17" s="13" customFormat="1" ht="15">
      <c r="A141" s="967"/>
      <c r="B141" s="121" t="s">
        <v>45</v>
      </c>
      <c r="C141" s="967" t="s">
        <v>46</v>
      </c>
      <c r="D141" s="123">
        <v>34.9</v>
      </c>
      <c r="E141" s="124">
        <f>D141*E140</f>
        <v>18.741299999999999</v>
      </c>
      <c r="F141" s="125"/>
      <c r="G141" s="73"/>
      <c r="H141" s="125"/>
      <c r="I141" s="73">
        <f>H141*E141</f>
        <v>0</v>
      </c>
      <c r="J141" s="125"/>
      <c r="K141" s="73"/>
      <c r="L141" s="73">
        <f>K141+I141+G141</f>
        <v>0</v>
      </c>
      <c r="M141" s="298"/>
      <c r="N141" s="197"/>
      <c r="O141" s="197"/>
    </row>
    <row r="142" spans="1:17" s="13" customFormat="1" ht="15">
      <c r="A142" s="117"/>
      <c r="B142" s="121" t="s">
        <v>53</v>
      </c>
      <c r="C142" s="967" t="s">
        <v>70</v>
      </c>
      <c r="D142" s="631">
        <v>4.07</v>
      </c>
      <c r="E142" s="104">
        <f>D142*E140</f>
        <v>2.1855900000000004</v>
      </c>
      <c r="F142" s="103"/>
      <c r="G142" s="156"/>
      <c r="H142" s="104"/>
      <c r="I142" s="136"/>
      <c r="J142" s="104"/>
      <c r="K142" s="127">
        <f>J142*E142</f>
        <v>0</v>
      </c>
      <c r="L142" s="127">
        <f>K142+I142+G142</f>
        <v>0</v>
      </c>
      <c r="M142" s="298"/>
      <c r="N142" s="197"/>
      <c r="O142" s="197"/>
    </row>
    <row r="143" spans="1:17" s="1" customFormat="1" ht="15">
      <c r="A143" s="821"/>
      <c r="B143" s="743" t="s">
        <v>384</v>
      </c>
      <c r="C143" s="742" t="s">
        <v>51</v>
      </c>
      <c r="D143" s="766"/>
      <c r="E143" s="822">
        <f>20*10.4/1000</f>
        <v>0.20799999999999999</v>
      </c>
      <c r="F143" s="793"/>
      <c r="G143" s="819">
        <f t="shared" ref="G143" si="9">F143*E143</f>
        <v>0</v>
      </c>
      <c r="H143" s="819"/>
      <c r="I143" s="820"/>
      <c r="J143" s="819"/>
      <c r="K143" s="820"/>
      <c r="L143" s="820">
        <f t="shared" ref="L143" si="10">K143+I143+G143</f>
        <v>0</v>
      </c>
      <c r="M143" s="391"/>
      <c r="N143" s="391"/>
      <c r="O143" s="391"/>
      <c r="P143" s="391"/>
      <c r="Q143" s="391"/>
    </row>
    <row r="144" spans="1:17" s="1" customFormat="1" ht="15">
      <c r="A144" s="821"/>
      <c r="B144" s="743" t="s">
        <v>385</v>
      </c>
      <c r="C144" s="742" t="s">
        <v>69</v>
      </c>
      <c r="D144" s="766"/>
      <c r="E144" s="822">
        <v>20</v>
      </c>
      <c r="F144" s="793"/>
      <c r="G144" s="819">
        <f t="shared" ref="G144" si="11">F144*E144</f>
        <v>0</v>
      </c>
      <c r="H144" s="819"/>
      <c r="I144" s="820"/>
      <c r="J144" s="819"/>
      <c r="K144" s="820"/>
      <c r="L144" s="820">
        <f t="shared" ref="L144" si="12">K144+I144+G144</f>
        <v>0</v>
      </c>
      <c r="M144" s="391"/>
      <c r="N144" s="391"/>
      <c r="O144" s="391"/>
      <c r="P144" s="391"/>
      <c r="Q144" s="391"/>
    </row>
    <row r="145" spans="1:17" s="1" customFormat="1" ht="15">
      <c r="A145" s="821"/>
      <c r="B145" s="743" t="s">
        <v>59</v>
      </c>
      <c r="C145" s="742" t="s">
        <v>60</v>
      </c>
      <c r="D145" s="766">
        <v>15.2</v>
      </c>
      <c r="E145" s="822">
        <f>D145*E140</f>
        <v>8.1623999999999999</v>
      </c>
      <c r="F145" s="793"/>
      <c r="G145" s="127">
        <f>F145*E145</f>
        <v>0</v>
      </c>
      <c r="H145" s="104"/>
      <c r="I145" s="136"/>
      <c r="J145" s="135"/>
      <c r="K145" s="136"/>
      <c r="L145" s="127">
        <f>K145+I145+G145</f>
        <v>0</v>
      </c>
      <c r="M145" s="391"/>
      <c r="N145" s="391"/>
      <c r="O145" s="391"/>
      <c r="P145" s="391"/>
      <c r="Q145" s="391"/>
    </row>
    <row r="146" spans="1:17" s="13" customFormat="1" ht="15">
      <c r="A146" s="117"/>
      <c r="B146" s="157" t="s">
        <v>54</v>
      </c>
      <c r="C146" s="967" t="s">
        <v>2</v>
      </c>
      <c r="D146" s="631">
        <v>2.78</v>
      </c>
      <c r="E146" s="104">
        <f>D146*E140</f>
        <v>1.4928600000000001</v>
      </c>
      <c r="F146" s="104"/>
      <c r="G146" s="127">
        <f>F146*E146</f>
        <v>0</v>
      </c>
      <c r="H146" s="104"/>
      <c r="I146" s="136"/>
      <c r="J146" s="135"/>
      <c r="K146" s="136"/>
      <c r="L146" s="127">
        <f>K146+I146+G146</f>
        <v>0</v>
      </c>
      <c r="M146" s="298"/>
      <c r="N146" s="197"/>
      <c r="O146" s="197"/>
    </row>
    <row r="147" spans="1:17" s="13" customFormat="1" ht="40.5">
      <c r="A147" s="347">
        <v>31</v>
      </c>
      <c r="B147" s="339" t="s">
        <v>386</v>
      </c>
      <c r="C147" s="347" t="s">
        <v>163</v>
      </c>
      <c r="D147" s="489"/>
      <c r="E147" s="475">
        <f>6+10.56</f>
        <v>16.560000000000002</v>
      </c>
      <c r="F147" s="353"/>
      <c r="G147" s="354"/>
      <c r="H147" s="353"/>
      <c r="I147" s="354"/>
      <c r="J147" s="353"/>
      <c r="K147" s="354"/>
      <c r="L147" s="354"/>
      <c r="M147" s="298"/>
      <c r="N147" s="197"/>
      <c r="O147" s="197"/>
    </row>
    <row r="148" spans="1:17" s="1" customFormat="1" ht="15.75">
      <c r="A148" s="742"/>
      <c r="B148" s="743" t="s">
        <v>45</v>
      </c>
      <c r="C148" s="742" t="s">
        <v>150</v>
      </c>
      <c r="D148" s="744">
        <v>1</v>
      </c>
      <c r="E148" s="744">
        <f>D148*E147</f>
        <v>16.560000000000002</v>
      </c>
      <c r="F148" s="742"/>
      <c r="G148" s="742"/>
      <c r="H148" s="746"/>
      <c r="I148" s="746">
        <f>H148*E148</f>
        <v>0</v>
      </c>
      <c r="J148" s="742"/>
      <c r="K148" s="746"/>
      <c r="L148" s="746">
        <f>K148+I148+G148</f>
        <v>0</v>
      </c>
      <c r="M148" s="391"/>
      <c r="N148" s="391"/>
      <c r="O148" s="391"/>
      <c r="P148" s="391"/>
      <c r="Q148" s="391"/>
    </row>
    <row r="149" spans="1:17" s="13" customFormat="1" ht="15">
      <c r="A149" s="117"/>
      <c r="B149" s="121" t="s">
        <v>53</v>
      </c>
      <c r="C149" s="967" t="s">
        <v>70</v>
      </c>
      <c r="D149" s="631">
        <v>2.9999999999999997E-4</v>
      </c>
      <c r="E149" s="104">
        <f>D149*E147</f>
        <v>4.9680000000000002E-3</v>
      </c>
      <c r="F149" s="103"/>
      <c r="G149" s="156"/>
      <c r="H149" s="104"/>
      <c r="I149" s="136"/>
      <c r="J149" s="104"/>
      <c r="K149" s="127">
        <f>J149*E149</f>
        <v>0</v>
      </c>
      <c r="L149" s="127">
        <f>K149+I149+G149</f>
        <v>0</v>
      </c>
      <c r="M149" s="298"/>
      <c r="N149" s="197"/>
      <c r="O149" s="197"/>
    </row>
    <row r="150" spans="1:17" s="13" customFormat="1" ht="27">
      <c r="A150" s="967"/>
      <c r="B150" s="55" t="s">
        <v>383</v>
      </c>
      <c r="C150" s="967" t="s">
        <v>60</v>
      </c>
      <c r="D150" s="104">
        <f>(25.1+0.2+2.7)*0.01</f>
        <v>0.28000000000000003</v>
      </c>
      <c r="E150" s="104">
        <f>D150*E147</f>
        <v>4.6368000000000009</v>
      </c>
      <c r="F150" s="125"/>
      <c r="G150" s="73">
        <f>F150*E150</f>
        <v>0</v>
      </c>
      <c r="H150" s="125"/>
      <c r="I150" s="73"/>
      <c r="J150" s="125"/>
      <c r="K150" s="73"/>
      <c r="L150" s="73">
        <f>K150+I150+G150</f>
        <v>0</v>
      </c>
      <c r="M150" s="298"/>
      <c r="N150" s="197"/>
      <c r="O150" s="197"/>
    </row>
    <row r="151" spans="1:17" s="391" customFormat="1" ht="21.95" customHeight="1">
      <c r="A151" s="742"/>
      <c r="B151" s="763" t="s">
        <v>73</v>
      </c>
      <c r="C151" s="801" t="s">
        <v>60</v>
      </c>
      <c r="D151" s="802">
        <v>0.15</v>
      </c>
      <c r="E151" s="803">
        <f>D151*E147</f>
        <v>2.4840000000000004</v>
      </c>
      <c r="F151" s="746"/>
      <c r="G151" s="746">
        <f>F151*E151</f>
        <v>0</v>
      </c>
      <c r="H151" s="742"/>
      <c r="I151" s="746"/>
      <c r="J151" s="742"/>
      <c r="K151" s="742"/>
      <c r="L151" s="746">
        <f>K151+I151+G151</f>
        <v>0</v>
      </c>
    </row>
    <row r="152" spans="1:17" s="13" customFormat="1" ht="15">
      <c r="A152" s="117"/>
      <c r="B152" s="157" t="s">
        <v>54</v>
      </c>
      <c r="C152" s="967" t="s">
        <v>2</v>
      </c>
      <c r="D152" s="631">
        <v>1.9E-3</v>
      </c>
      <c r="E152" s="104">
        <f>D152*E147</f>
        <v>3.1464000000000006E-2</v>
      </c>
      <c r="F152" s="104"/>
      <c r="G152" s="127">
        <f>F152*E152</f>
        <v>0</v>
      </c>
      <c r="H152" s="104"/>
      <c r="I152" s="136"/>
      <c r="J152" s="135"/>
      <c r="K152" s="136"/>
      <c r="L152" s="127">
        <f>K152+I152+G152</f>
        <v>0</v>
      </c>
      <c r="M152" s="298"/>
      <c r="N152" s="197"/>
      <c r="O152" s="197"/>
    </row>
    <row r="153" spans="1:17" s="479" customFormat="1" ht="43.15" customHeight="1">
      <c r="A153" s="403">
        <v>32</v>
      </c>
      <c r="B153" s="403" t="s">
        <v>312</v>
      </c>
      <c r="C153" s="403" t="s">
        <v>160</v>
      </c>
      <c r="D153" s="403"/>
      <c r="E153" s="478">
        <v>10</v>
      </c>
      <c r="F153" s="425"/>
      <c r="G153" s="425"/>
      <c r="H153" s="425"/>
      <c r="I153" s="425"/>
      <c r="J153" s="425"/>
      <c r="K153" s="425"/>
      <c r="L153" s="425"/>
    </row>
    <row r="154" spans="1:17" s="480" customFormat="1" ht="15.75">
      <c r="A154" s="392"/>
      <c r="B154" s="455" t="s">
        <v>45</v>
      </c>
      <c r="C154" s="742" t="s">
        <v>57</v>
      </c>
      <c r="D154" s="456">
        <v>1</v>
      </c>
      <c r="E154" s="458">
        <f>D154*E153</f>
        <v>10</v>
      </c>
      <c r="F154" s="393"/>
      <c r="G154" s="393"/>
      <c r="H154" s="393"/>
      <c r="I154" s="393">
        <f>H154*E154</f>
        <v>0</v>
      </c>
      <c r="J154" s="393"/>
      <c r="K154" s="393"/>
      <c r="L154" s="393">
        <f>K154+I154+G154</f>
        <v>0</v>
      </c>
    </row>
    <row r="155" spans="1:17" s="480" customFormat="1" ht="15">
      <c r="A155" s="392"/>
      <c r="B155" s="455" t="s">
        <v>53</v>
      </c>
      <c r="C155" s="456" t="s">
        <v>2</v>
      </c>
      <c r="D155" s="471">
        <f>(0.95+4*0.23)/100</f>
        <v>1.8700000000000001E-2</v>
      </c>
      <c r="E155" s="464">
        <f>D155*E153</f>
        <v>0.187</v>
      </c>
      <c r="F155" s="393"/>
      <c r="G155" s="393"/>
      <c r="H155" s="393"/>
      <c r="I155" s="393"/>
      <c r="J155" s="393"/>
      <c r="K155" s="393">
        <f>E155*J155</f>
        <v>0</v>
      </c>
      <c r="L155" s="393">
        <f>K155+I155+G155</f>
        <v>0</v>
      </c>
    </row>
    <row r="156" spans="1:17" s="480" customFormat="1" ht="15.75">
      <c r="A156" s="392"/>
      <c r="B156" s="482" t="s">
        <v>89</v>
      </c>
      <c r="C156" s="456" t="s">
        <v>151</v>
      </c>
      <c r="D156" s="483">
        <f>(2.04+4*0.51)/100</f>
        <v>4.0800000000000003E-2</v>
      </c>
      <c r="E156" s="393">
        <f>D156*E153</f>
        <v>0.40800000000000003</v>
      </c>
      <c r="F156" s="481"/>
      <c r="G156" s="393">
        <f>F156*E156</f>
        <v>0</v>
      </c>
      <c r="H156" s="393"/>
      <c r="I156" s="393"/>
      <c r="J156" s="393"/>
      <c r="K156" s="393"/>
      <c r="L156" s="393">
        <f>K156+I156+G156</f>
        <v>0</v>
      </c>
    </row>
    <row r="157" spans="1:17" s="480" customFormat="1" ht="15" customHeight="1">
      <c r="A157" s="392"/>
      <c r="B157" s="455" t="s">
        <v>54</v>
      </c>
      <c r="C157" s="456" t="s">
        <v>2</v>
      </c>
      <c r="D157" s="483">
        <v>6.3600000000000004E-2</v>
      </c>
      <c r="E157" s="393">
        <f>D157*E153</f>
        <v>0.63600000000000001</v>
      </c>
      <c r="F157" s="393"/>
      <c r="G157" s="393">
        <f>F157*E157</f>
        <v>0</v>
      </c>
      <c r="H157" s="393"/>
      <c r="I157" s="393"/>
      <c r="J157" s="393"/>
      <c r="K157" s="393"/>
      <c r="L157" s="393">
        <f>K157+I157+G157</f>
        <v>0</v>
      </c>
    </row>
    <row r="158" spans="1:17" s="80" customFormat="1" ht="27" customHeight="1">
      <c r="A158" s="347">
        <v>33</v>
      </c>
      <c r="B158" s="491" t="s">
        <v>311</v>
      </c>
      <c r="C158" s="347" t="s">
        <v>160</v>
      </c>
      <c r="D158" s="351"/>
      <c r="E158" s="352">
        <v>10</v>
      </c>
      <c r="F158" s="353"/>
      <c r="G158" s="354"/>
      <c r="H158" s="353"/>
      <c r="I158" s="354"/>
      <c r="J158" s="353"/>
      <c r="K158" s="354"/>
      <c r="L158" s="354"/>
      <c r="M158" s="355"/>
      <c r="N158" s="307"/>
      <c r="O158" s="307"/>
    </row>
    <row r="159" spans="1:17" s="77" customFormat="1" ht="15.75">
      <c r="A159" s="117"/>
      <c r="B159" s="121" t="s">
        <v>76</v>
      </c>
      <c r="C159" s="966" t="s">
        <v>165</v>
      </c>
      <c r="D159" s="118">
        <v>1</v>
      </c>
      <c r="E159" s="124">
        <f>D159*E158</f>
        <v>10</v>
      </c>
      <c r="F159" s="135"/>
      <c r="G159" s="136"/>
      <c r="H159" s="291"/>
      <c r="I159" s="127">
        <f>H159*E159</f>
        <v>0</v>
      </c>
      <c r="J159" s="135"/>
      <c r="K159" s="136"/>
      <c r="L159" s="127">
        <f t="shared" ref="L159:L164" si="13">K159+I159+G159</f>
        <v>0</v>
      </c>
      <c r="M159" s="298"/>
      <c r="N159" s="206"/>
      <c r="O159" s="206"/>
    </row>
    <row r="160" spans="1:17" s="77" customFormat="1">
      <c r="A160" s="117"/>
      <c r="B160" s="121" t="s">
        <v>53</v>
      </c>
      <c r="C160" s="966" t="s">
        <v>70</v>
      </c>
      <c r="D160" s="631">
        <v>0.02</v>
      </c>
      <c r="E160" s="104">
        <f>D160*E158</f>
        <v>0.2</v>
      </c>
      <c r="F160" s="178"/>
      <c r="G160" s="136"/>
      <c r="H160" s="104"/>
      <c r="I160" s="136"/>
      <c r="J160" s="104"/>
      <c r="K160" s="127">
        <f>J160*E160</f>
        <v>0</v>
      </c>
      <c r="L160" s="127">
        <f t="shared" si="13"/>
        <v>0</v>
      </c>
      <c r="M160" s="298"/>
      <c r="N160" s="206"/>
      <c r="O160" s="206"/>
    </row>
    <row r="161" spans="1:17" s="77" customFormat="1" ht="27">
      <c r="A161" s="117"/>
      <c r="B161" s="121" t="s">
        <v>290</v>
      </c>
      <c r="C161" s="966" t="s">
        <v>165</v>
      </c>
      <c r="D161" s="631">
        <v>1.02</v>
      </c>
      <c r="E161" s="104">
        <f>D161*E158</f>
        <v>10.199999999999999</v>
      </c>
      <c r="F161" s="104"/>
      <c r="G161" s="127">
        <f>F161*E161</f>
        <v>0</v>
      </c>
      <c r="H161" s="104"/>
      <c r="I161" s="136"/>
      <c r="J161" s="135"/>
      <c r="K161" s="136"/>
      <c r="L161" s="127">
        <f t="shared" si="13"/>
        <v>0</v>
      </c>
      <c r="M161" s="298"/>
      <c r="N161" s="206"/>
      <c r="O161" s="206"/>
    </row>
    <row r="162" spans="1:17" s="77" customFormat="1">
      <c r="A162" s="117"/>
      <c r="B162" s="176" t="s">
        <v>351</v>
      </c>
      <c r="C162" s="165" t="s">
        <v>60</v>
      </c>
      <c r="D162" s="631">
        <v>6.25</v>
      </c>
      <c r="E162" s="104">
        <f>D162*E158</f>
        <v>62.5</v>
      </c>
      <c r="F162" s="125"/>
      <c r="G162" s="127">
        <f>F162*E162</f>
        <v>0</v>
      </c>
      <c r="H162" s="104"/>
      <c r="I162" s="136"/>
      <c r="J162" s="135"/>
      <c r="K162" s="136"/>
      <c r="L162" s="127">
        <f t="shared" si="13"/>
        <v>0</v>
      </c>
      <c r="M162" s="298"/>
      <c r="N162" s="206"/>
      <c r="O162" s="206"/>
    </row>
    <row r="163" spans="1:17" s="77" customFormat="1">
      <c r="A163" s="117"/>
      <c r="B163" s="176" t="s">
        <v>88</v>
      </c>
      <c r="C163" s="165" t="s">
        <v>60</v>
      </c>
      <c r="D163" s="631">
        <v>0.2</v>
      </c>
      <c r="E163" s="104">
        <f>D163*E158</f>
        <v>2</v>
      </c>
      <c r="F163" s="125"/>
      <c r="G163" s="127">
        <f>F163*E163</f>
        <v>0</v>
      </c>
      <c r="H163" s="104"/>
      <c r="I163" s="136"/>
      <c r="J163" s="135"/>
      <c r="K163" s="136"/>
      <c r="L163" s="127">
        <f t="shared" si="13"/>
        <v>0</v>
      </c>
      <c r="M163" s="298"/>
      <c r="N163" s="206"/>
      <c r="O163" s="206"/>
    </row>
    <row r="164" spans="1:17" s="77" customFormat="1">
      <c r="A164" s="117"/>
      <c r="B164" s="121" t="s">
        <v>54</v>
      </c>
      <c r="C164" s="966" t="s">
        <v>70</v>
      </c>
      <c r="D164" s="631">
        <v>7.0000000000000001E-3</v>
      </c>
      <c r="E164" s="104">
        <f>D164*E158</f>
        <v>7.0000000000000007E-2</v>
      </c>
      <c r="F164" s="104"/>
      <c r="G164" s="127">
        <f>F164*E164</f>
        <v>0</v>
      </c>
      <c r="H164" s="104"/>
      <c r="I164" s="136"/>
      <c r="J164" s="135"/>
      <c r="K164" s="136"/>
      <c r="L164" s="127">
        <f t="shared" si="13"/>
        <v>0</v>
      </c>
      <c r="M164" s="298"/>
      <c r="N164" s="206"/>
      <c r="O164" s="206"/>
    </row>
    <row r="165" spans="1:17" s="206" customFormat="1">
      <c r="A165" s="180"/>
      <c r="B165" s="55"/>
      <c r="C165" s="966"/>
      <c r="D165" s="631"/>
      <c r="E165" s="104"/>
      <c r="F165" s="166"/>
      <c r="G165" s="58"/>
      <c r="H165" s="166"/>
      <c r="I165" s="58"/>
      <c r="J165" s="270"/>
      <c r="K165" s="73"/>
      <c r="L165" s="73"/>
      <c r="M165" s="298"/>
    </row>
    <row r="166" spans="1:17" s="206" customFormat="1" ht="31.5" customHeight="1">
      <c r="A166" s="180"/>
      <c r="B166" s="488" t="s">
        <v>208</v>
      </c>
      <c r="C166" s="966"/>
      <c r="D166" s="631"/>
      <c r="E166" s="104"/>
      <c r="F166" s="104"/>
      <c r="G166" s="127"/>
      <c r="H166" s="104"/>
      <c r="I166" s="127"/>
      <c r="J166" s="104"/>
      <c r="K166" s="127"/>
      <c r="L166" s="127"/>
      <c r="M166" s="298"/>
    </row>
    <row r="167" spans="1:17" s="300" customFormat="1" ht="26.25">
      <c r="A167" s="775">
        <v>34</v>
      </c>
      <c r="B167" s="758" t="s">
        <v>417</v>
      </c>
      <c r="C167" s="738" t="s">
        <v>156</v>
      </c>
      <c r="D167" s="817"/>
      <c r="E167" s="818">
        <v>5.4</v>
      </c>
      <c r="F167" s="818"/>
      <c r="G167" s="788"/>
      <c r="H167" s="818"/>
      <c r="I167" s="788"/>
      <c r="J167" s="818"/>
      <c r="K167" s="788"/>
      <c r="L167" s="788"/>
      <c r="M167" s="298"/>
    </row>
    <row r="168" spans="1:17" s="300" customFormat="1" ht="15.75">
      <c r="A168" s="750"/>
      <c r="B168" s="763" t="s">
        <v>55</v>
      </c>
      <c r="C168" s="742" t="s">
        <v>151</v>
      </c>
      <c r="D168" s="786">
        <v>1</v>
      </c>
      <c r="E168" s="781">
        <f>D168*E167</f>
        <v>5.4</v>
      </c>
      <c r="F168" s="781"/>
      <c r="G168" s="756"/>
      <c r="H168" s="781"/>
      <c r="I168" s="756">
        <f>H168*E168</f>
        <v>0</v>
      </c>
      <c r="J168" s="781"/>
      <c r="K168" s="756"/>
      <c r="L168" s="756">
        <f>K168+I168+G168</f>
        <v>0</v>
      </c>
      <c r="M168" s="298"/>
    </row>
    <row r="169" spans="1:17" s="301" customFormat="1">
      <c r="A169" s="779"/>
      <c r="B169" s="751" t="s">
        <v>53</v>
      </c>
      <c r="C169" s="742" t="s">
        <v>2</v>
      </c>
      <c r="D169" s="780">
        <v>0.28299999999999997</v>
      </c>
      <c r="E169" s="794">
        <f>D169*E167</f>
        <v>1.5282</v>
      </c>
      <c r="F169" s="794"/>
      <c r="G169" s="815"/>
      <c r="H169" s="794"/>
      <c r="I169" s="815"/>
      <c r="J169" s="794"/>
      <c r="K169" s="815">
        <f>J169*E169</f>
        <v>0</v>
      </c>
      <c r="L169" s="815">
        <f>K169+I169+G169</f>
        <v>0</v>
      </c>
      <c r="M169" s="298"/>
    </row>
    <row r="170" spans="1:17" s="300" customFormat="1" ht="15.75">
      <c r="A170" s="750"/>
      <c r="B170" s="763" t="s">
        <v>161</v>
      </c>
      <c r="C170" s="742" t="s">
        <v>151</v>
      </c>
      <c r="D170" s="786">
        <v>1.02</v>
      </c>
      <c r="E170" s="781">
        <f>D170*E167</f>
        <v>5.5080000000000009</v>
      </c>
      <c r="F170" s="781"/>
      <c r="G170" s="746">
        <f>F170*E170</f>
        <v>0</v>
      </c>
      <c r="H170" s="781"/>
      <c r="I170" s="756"/>
      <c r="J170" s="781"/>
      <c r="K170" s="756"/>
      <c r="L170" s="756">
        <f>K170+I170+G170</f>
        <v>0</v>
      </c>
      <c r="M170" s="298"/>
    </row>
    <row r="171" spans="1:17" s="301" customFormat="1">
      <c r="A171" s="779"/>
      <c r="B171" s="768" t="s">
        <v>54</v>
      </c>
      <c r="C171" s="742" t="s">
        <v>2</v>
      </c>
      <c r="D171" s="780">
        <v>0.62</v>
      </c>
      <c r="E171" s="794">
        <f>D171*E167</f>
        <v>3.3480000000000003</v>
      </c>
      <c r="F171" s="794"/>
      <c r="G171" s="816">
        <f>F171*E171</f>
        <v>0</v>
      </c>
      <c r="H171" s="794"/>
      <c r="I171" s="815"/>
      <c r="J171" s="794"/>
      <c r="K171" s="815"/>
      <c r="L171" s="815">
        <f>K171+I171+G171</f>
        <v>0</v>
      </c>
      <c r="M171" s="298"/>
    </row>
    <row r="172" spans="1:17" s="307" customFormat="1" ht="31.5" customHeight="1">
      <c r="A172" s="472">
        <v>35</v>
      </c>
      <c r="B172" s="339" t="s">
        <v>331</v>
      </c>
      <c r="C172" s="347" t="s">
        <v>156</v>
      </c>
      <c r="D172" s="489"/>
      <c r="E172" s="475">
        <v>14.4</v>
      </c>
      <c r="F172" s="475"/>
      <c r="G172" s="344"/>
      <c r="H172" s="475"/>
      <c r="I172" s="344"/>
      <c r="J172" s="475"/>
      <c r="K172" s="344"/>
      <c r="L172" s="344"/>
      <c r="M172" s="355"/>
    </row>
    <row r="173" spans="1:17" s="77" customFormat="1" ht="15.75">
      <c r="A173" s="170"/>
      <c r="B173" s="121" t="s">
        <v>76</v>
      </c>
      <c r="C173" s="996" t="s">
        <v>151</v>
      </c>
      <c r="D173" s="631">
        <v>1</v>
      </c>
      <c r="E173" s="104">
        <f>D173*E172</f>
        <v>14.4</v>
      </c>
      <c r="F173" s="141"/>
      <c r="G173" s="145"/>
      <c r="H173" s="141"/>
      <c r="I173" s="145">
        <f>H173*E173</f>
        <v>0</v>
      </c>
      <c r="J173" s="141"/>
      <c r="K173" s="145"/>
      <c r="L173" s="145">
        <f t="shared" ref="L173:L180" si="14">K173+I173+G173</f>
        <v>0</v>
      </c>
      <c r="M173" s="298"/>
      <c r="N173" s="206"/>
      <c r="O173" s="206"/>
    </row>
    <row r="174" spans="1:17" s="77" customFormat="1">
      <c r="A174" s="149"/>
      <c r="B174" s="121" t="s">
        <v>53</v>
      </c>
      <c r="C174" s="966" t="s">
        <v>2</v>
      </c>
      <c r="D174" s="631">
        <v>0.76</v>
      </c>
      <c r="E174" s="104">
        <f>D174*E172</f>
        <v>10.944000000000001</v>
      </c>
      <c r="F174" s="143"/>
      <c r="G174" s="144"/>
      <c r="H174" s="179"/>
      <c r="I174" s="142"/>
      <c r="J174" s="179"/>
      <c r="K174" s="142">
        <f>E174*J174</f>
        <v>0</v>
      </c>
      <c r="L174" s="142">
        <f t="shared" si="14"/>
        <v>0</v>
      </c>
      <c r="M174" s="298"/>
      <c r="N174" s="206"/>
      <c r="O174" s="206"/>
    </row>
    <row r="175" spans="1:17" s="63" customFormat="1" ht="15.75">
      <c r="A175" s="180"/>
      <c r="B175" s="55" t="s">
        <v>162</v>
      </c>
      <c r="C175" s="966" t="s">
        <v>151</v>
      </c>
      <c r="D175" s="226">
        <v>1.02</v>
      </c>
      <c r="E175" s="104">
        <f>D175*E172</f>
        <v>14.688000000000001</v>
      </c>
      <c r="F175" s="417"/>
      <c r="G175" s="142">
        <f>E175*F175</f>
        <v>0</v>
      </c>
      <c r="H175" s="179"/>
      <c r="I175" s="142"/>
      <c r="J175" s="179"/>
      <c r="K175" s="142"/>
      <c r="L175" s="142">
        <f t="shared" si="14"/>
        <v>0</v>
      </c>
      <c r="M175" s="298"/>
    </row>
    <row r="176" spans="1:17" s="1" customFormat="1" ht="15">
      <c r="A176" s="821"/>
      <c r="B176" s="743" t="s">
        <v>62</v>
      </c>
      <c r="C176" s="744" t="s">
        <v>51</v>
      </c>
      <c r="D176" s="766"/>
      <c r="E176" s="822">
        <f>21*1.1/1000</f>
        <v>2.3100000000000002E-2</v>
      </c>
      <c r="F176" s="793"/>
      <c r="G176" s="819">
        <f t="shared" ref="G176" si="15">F176*E176</f>
        <v>0</v>
      </c>
      <c r="H176" s="819"/>
      <c r="I176" s="820"/>
      <c r="J176" s="819"/>
      <c r="K176" s="820"/>
      <c r="L176" s="820">
        <f t="shared" si="14"/>
        <v>0</v>
      </c>
      <c r="M176" s="391"/>
      <c r="N176" s="391"/>
      <c r="O176" s="391"/>
      <c r="P176" s="391"/>
      <c r="Q176" s="391"/>
    </row>
    <row r="177" spans="1:17" s="19" customFormat="1" ht="15" customHeight="1">
      <c r="A177" s="742"/>
      <c r="B177" s="763" t="s">
        <v>283</v>
      </c>
      <c r="C177" s="744" t="s">
        <v>51</v>
      </c>
      <c r="D177" s="766"/>
      <c r="E177" s="792">
        <f>1173*1.01/1000</f>
        <v>1.1847300000000001</v>
      </c>
      <c r="F177" s="794"/>
      <c r="G177" s="746">
        <f>E177*F177</f>
        <v>0</v>
      </c>
      <c r="H177" s="742"/>
      <c r="I177" s="746"/>
      <c r="J177" s="742"/>
      <c r="K177" s="742"/>
      <c r="L177" s="746">
        <f t="shared" si="14"/>
        <v>0</v>
      </c>
    </row>
    <row r="178" spans="1:17" s="309" customFormat="1" ht="27">
      <c r="A178" s="966"/>
      <c r="B178" s="121" t="s">
        <v>209</v>
      </c>
      <c r="C178" s="966" t="s">
        <v>150</v>
      </c>
      <c r="D178" s="123">
        <v>0.80300000000000005</v>
      </c>
      <c r="E178" s="124">
        <f>D178*E172</f>
        <v>11.5632</v>
      </c>
      <c r="F178" s="746"/>
      <c r="G178" s="142">
        <f>E178*F178</f>
        <v>0</v>
      </c>
      <c r="H178" s="179"/>
      <c r="I178" s="142"/>
      <c r="J178" s="179"/>
      <c r="K178" s="142"/>
      <c r="L178" s="142">
        <f t="shared" si="14"/>
        <v>0</v>
      </c>
      <c r="M178" s="298"/>
    </row>
    <row r="179" spans="1:17" s="308" customFormat="1" ht="15.75">
      <c r="A179" s="966"/>
      <c r="B179" s="121" t="s">
        <v>58</v>
      </c>
      <c r="C179" s="966" t="s">
        <v>151</v>
      </c>
      <c r="D179" s="133">
        <v>3.8999999999999998E-3</v>
      </c>
      <c r="E179" s="134">
        <f>D179*E172</f>
        <v>5.6160000000000002E-2</v>
      </c>
      <c r="F179" s="125"/>
      <c r="G179" s="142">
        <f>E179*F179</f>
        <v>0</v>
      </c>
      <c r="H179" s="179"/>
      <c r="I179" s="142"/>
      <c r="J179" s="179"/>
      <c r="K179" s="142"/>
      <c r="L179" s="142">
        <f t="shared" si="14"/>
        <v>0</v>
      </c>
      <c r="M179" s="298"/>
    </row>
    <row r="180" spans="1:17" s="77" customFormat="1">
      <c r="A180" s="149"/>
      <c r="B180" s="121" t="s">
        <v>54</v>
      </c>
      <c r="C180" s="122" t="s">
        <v>2</v>
      </c>
      <c r="D180" s="631">
        <v>0.13</v>
      </c>
      <c r="E180" s="104">
        <f>D180*E172</f>
        <v>1.8720000000000001</v>
      </c>
      <c r="F180" s="179"/>
      <c r="G180" s="142">
        <f>E180*F180</f>
        <v>0</v>
      </c>
      <c r="H180" s="179"/>
      <c r="I180" s="142"/>
      <c r="J180" s="179"/>
      <c r="K180" s="142"/>
      <c r="L180" s="142">
        <f t="shared" si="14"/>
        <v>0</v>
      </c>
      <c r="M180" s="298"/>
      <c r="N180" s="206"/>
      <c r="O180" s="206"/>
    </row>
    <row r="181" spans="1:17" s="72" customFormat="1" ht="25.5">
      <c r="A181" s="472">
        <v>36</v>
      </c>
      <c r="B181" s="491" t="s">
        <v>210</v>
      </c>
      <c r="C181" s="347" t="s">
        <v>160</v>
      </c>
      <c r="D181" s="351"/>
      <c r="E181" s="352">
        <v>170</v>
      </c>
      <c r="F181" s="353"/>
      <c r="G181" s="492"/>
      <c r="H181" s="493"/>
      <c r="I181" s="492"/>
      <c r="J181" s="493"/>
      <c r="K181" s="492"/>
      <c r="L181" s="354"/>
      <c r="M181" s="355"/>
    </row>
    <row r="182" spans="1:17" s="77" customFormat="1">
      <c r="A182" s="170"/>
      <c r="B182" s="121" t="s">
        <v>76</v>
      </c>
      <c r="C182" s="966" t="s">
        <v>46</v>
      </c>
      <c r="D182" s="631">
        <v>2.61</v>
      </c>
      <c r="E182" s="104">
        <f>D182*E181</f>
        <v>443.7</v>
      </c>
      <c r="F182" s="141"/>
      <c r="G182" s="145"/>
      <c r="H182" s="141"/>
      <c r="I182" s="145">
        <f>H182*E182</f>
        <v>0</v>
      </c>
      <c r="J182" s="141"/>
      <c r="K182" s="145"/>
      <c r="L182" s="145">
        <f t="shared" ref="L182:L187" si="16">K182+I182+G182</f>
        <v>0</v>
      </c>
      <c r="M182" s="298"/>
      <c r="N182" s="206"/>
      <c r="O182" s="206"/>
    </row>
    <row r="183" spans="1:17" s="77" customFormat="1">
      <c r="A183" s="149"/>
      <c r="B183" s="121" t="s">
        <v>53</v>
      </c>
      <c r="C183" s="966" t="s">
        <v>2</v>
      </c>
      <c r="D183" s="631">
        <v>3.5000000000000003E-2</v>
      </c>
      <c r="E183" s="104">
        <f>D183*E181</f>
        <v>5.95</v>
      </c>
      <c r="F183" s="143"/>
      <c r="G183" s="144"/>
      <c r="H183" s="179"/>
      <c r="I183" s="142"/>
      <c r="J183" s="179"/>
      <c r="K183" s="142">
        <f>E183*J183</f>
        <v>0</v>
      </c>
      <c r="L183" s="142">
        <f t="shared" si="16"/>
        <v>0</v>
      </c>
      <c r="M183" s="298"/>
      <c r="N183" s="206"/>
      <c r="O183" s="206"/>
    </row>
    <row r="184" spans="1:17" s="301" customFormat="1">
      <c r="A184" s="117"/>
      <c r="B184" s="55" t="s">
        <v>423</v>
      </c>
      <c r="C184" s="117" t="s">
        <v>51</v>
      </c>
      <c r="D184" s="118"/>
      <c r="E184" s="104">
        <v>1.3211999999999999</v>
      </c>
      <c r="F184" s="141"/>
      <c r="G184" s="142">
        <f>E184*F184</f>
        <v>0</v>
      </c>
      <c r="H184" s="179"/>
      <c r="I184" s="142"/>
      <c r="J184" s="179"/>
      <c r="K184" s="142"/>
      <c r="L184" s="142">
        <f t="shared" si="16"/>
        <v>0</v>
      </c>
      <c r="M184" s="298"/>
    </row>
    <row r="185" spans="1:17" s="301" customFormat="1">
      <c r="A185" s="117"/>
      <c r="B185" s="55" t="s">
        <v>422</v>
      </c>
      <c r="C185" s="117" t="s">
        <v>51</v>
      </c>
      <c r="D185" s="118"/>
      <c r="E185" s="104">
        <v>0.41825000000000001</v>
      </c>
      <c r="F185" s="141"/>
      <c r="G185" s="142">
        <f>E185*F185</f>
        <v>0</v>
      </c>
      <c r="H185" s="179"/>
      <c r="I185" s="142"/>
      <c r="J185" s="179"/>
      <c r="K185" s="142"/>
      <c r="L185" s="142">
        <f t="shared" si="16"/>
        <v>0</v>
      </c>
      <c r="M185" s="298"/>
    </row>
    <row r="186" spans="1:17" s="301" customFormat="1">
      <c r="A186" s="117"/>
      <c r="B186" s="55" t="s">
        <v>315</v>
      </c>
      <c r="C186" s="117" t="s">
        <v>51</v>
      </c>
      <c r="D186" s="118"/>
      <c r="E186" s="104">
        <v>2.06E-2</v>
      </c>
      <c r="F186" s="141"/>
      <c r="G186" s="142">
        <f>E186*F186</f>
        <v>0</v>
      </c>
      <c r="H186" s="179"/>
      <c r="I186" s="142"/>
      <c r="J186" s="179"/>
      <c r="K186" s="142"/>
      <c r="L186" s="142">
        <f t="shared" si="16"/>
        <v>0</v>
      </c>
      <c r="M186" s="298"/>
    </row>
    <row r="187" spans="1:17" s="77" customFormat="1">
      <c r="A187" s="149"/>
      <c r="B187" s="121" t="s">
        <v>54</v>
      </c>
      <c r="C187" s="122" t="s">
        <v>2</v>
      </c>
      <c r="D187" s="631">
        <v>0.38900000000000001</v>
      </c>
      <c r="E187" s="104">
        <f>D187*E181</f>
        <v>66.13</v>
      </c>
      <c r="F187" s="179"/>
      <c r="G187" s="142">
        <f>E187*F187</f>
        <v>0</v>
      </c>
      <c r="H187" s="179"/>
      <c r="I187" s="142"/>
      <c r="J187" s="179"/>
      <c r="K187" s="142"/>
      <c r="L187" s="142">
        <f t="shared" si="16"/>
        <v>0</v>
      </c>
      <c r="M187" s="298"/>
      <c r="N187" s="206"/>
      <c r="O187" s="206"/>
    </row>
    <row r="188" spans="1:17" s="13" customFormat="1" ht="40.5">
      <c r="A188" s="347">
        <v>37</v>
      </c>
      <c r="B188" s="339" t="s">
        <v>72</v>
      </c>
      <c r="C188" s="347" t="s">
        <v>163</v>
      </c>
      <c r="D188" s="489"/>
      <c r="E188" s="475">
        <v>77.42</v>
      </c>
      <c r="F188" s="353"/>
      <c r="G188" s="354"/>
      <c r="H188" s="353"/>
      <c r="I188" s="354"/>
      <c r="J188" s="353"/>
      <c r="K188" s="354"/>
      <c r="L188" s="354"/>
      <c r="M188" s="298"/>
      <c r="N188" s="197"/>
      <c r="O188" s="197"/>
    </row>
    <row r="189" spans="1:17" s="1" customFormat="1" ht="15.75">
      <c r="A189" s="742"/>
      <c r="B189" s="743" t="s">
        <v>45</v>
      </c>
      <c r="C189" s="742" t="s">
        <v>150</v>
      </c>
      <c r="D189" s="744">
        <v>1</v>
      </c>
      <c r="E189" s="744">
        <f>D189*E188</f>
        <v>77.42</v>
      </c>
      <c r="F189" s="742"/>
      <c r="G189" s="742"/>
      <c r="H189" s="746"/>
      <c r="I189" s="746">
        <f>H189*E189</f>
        <v>0</v>
      </c>
      <c r="J189" s="742"/>
      <c r="K189" s="746"/>
      <c r="L189" s="746">
        <f>K189+I189+G189</f>
        <v>0</v>
      </c>
      <c r="M189" s="391"/>
      <c r="N189" s="391"/>
      <c r="O189" s="391"/>
      <c r="P189" s="391"/>
      <c r="Q189" s="391"/>
    </row>
    <row r="190" spans="1:17" s="13" customFormat="1" ht="15">
      <c r="A190" s="117"/>
      <c r="B190" s="121" t="s">
        <v>53</v>
      </c>
      <c r="C190" s="966" t="s">
        <v>70</v>
      </c>
      <c r="D190" s="631">
        <v>2.9999999999999997E-4</v>
      </c>
      <c r="E190" s="104">
        <f>D190*E188</f>
        <v>2.3226E-2</v>
      </c>
      <c r="F190" s="103"/>
      <c r="G190" s="156"/>
      <c r="H190" s="104"/>
      <c r="I190" s="136"/>
      <c r="J190" s="104"/>
      <c r="K190" s="127">
        <f>J190*E190</f>
        <v>0</v>
      </c>
      <c r="L190" s="127">
        <f>K190+I190+G190</f>
        <v>0</v>
      </c>
      <c r="M190" s="298"/>
      <c r="N190" s="197"/>
      <c r="O190" s="197"/>
    </row>
    <row r="191" spans="1:17" s="13" customFormat="1" ht="27">
      <c r="A191" s="966"/>
      <c r="B191" s="55" t="s">
        <v>383</v>
      </c>
      <c r="C191" s="966" t="s">
        <v>60</v>
      </c>
      <c r="D191" s="104">
        <f>(25.1+0.2+2.7)*0.01</f>
        <v>0.28000000000000003</v>
      </c>
      <c r="E191" s="104">
        <f>D191*E188</f>
        <v>21.677600000000002</v>
      </c>
      <c r="F191" s="125"/>
      <c r="G191" s="73">
        <f>F191*E191</f>
        <v>0</v>
      </c>
      <c r="H191" s="125"/>
      <c r="I191" s="73"/>
      <c r="J191" s="125"/>
      <c r="K191" s="73"/>
      <c r="L191" s="73">
        <f>K191+I191+G191</f>
        <v>0</v>
      </c>
      <c r="M191" s="298"/>
      <c r="N191" s="197"/>
      <c r="O191" s="197"/>
    </row>
    <row r="192" spans="1:17" s="391" customFormat="1" ht="21.95" customHeight="1">
      <c r="A192" s="742"/>
      <c r="B192" s="763" t="s">
        <v>73</v>
      </c>
      <c r="C192" s="801" t="s">
        <v>60</v>
      </c>
      <c r="D192" s="802">
        <v>0.15</v>
      </c>
      <c r="E192" s="803">
        <f>D192*E188</f>
        <v>11.613</v>
      </c>
      <c r="F192" s="746"/>
      <c r="G192" s="746">
        <f>F192*E192</f>
        <v>0</v>
      </c>
      <c r="H192" s="742"/>
      <c r="I192" s="746"/>
      <c r="J192" s="742"/>
      <c r="K192" s="742"/>
      <c r="L192" s="746">
        <f>K192+I192+G192</f>
        <v>0</v>
      </c>
    </row>
    <row r="193" spans="1:17" s="13" customFormat="1" ht="15">
      <c r="A193" s="117"/>
      <c r="B193" s="157" t="s">
        <v>54</v>
      </c>
      <c r="C193" s="966" t="s">
        <v>2</v>
      </c>
      <c r="D193" s="631">
        <v>1.9E-3</v>
      </c>
      <c r="E193" s="104">
        <f>D193*E188</f>
        <v>0.14709800000000001</v>
      </c>
      <c r="F193" s="104"/>
      <c r="G193" s="127">
        <f>F193*E193</f>
        <v>0</v>
      </c>
      <c r="H193" s="104"/>
      <c r="I193" s="136"/>
      <c r="J193" s="135"/>
      <c r="K193" s="136"/>
      <c r="L193" s="127">
        <f>K193+I193+G193</f>
        <v>0</v>
      </c>
      <c r="M193" s="298"/>
      <c r="N193" s="197"/>
      <c r="O193" s="197"/>
    </row>
    <row r="194" spans="1:17" s="14" customFormat="1" ht="25.5">
      <c r="A194" s="370">
        <v>38</v>
      </c>
      <c r="B194" s="491" t="s">
        <v>335</v>
      </c>
      <c r="C194" s="347" t="s">
        <v>160</v>
      </c>
      <c r="D194" s="489"/>
      <c r="E194" s="475">
        <v>170</v>
      </c>
      <c r="F194" s="475"/>
      <c r="G194" s="344"/>
      <c r="H194" s="475"/>
      <c r="I194" s="494"/>
      <c r="J194" s="495"/>
      <c r="K194" s="494"/>
      <c r="L194" s="344"/>
      <c r="M194" s="298"/>
      <c r="N194" s="205"/>
      <c r="O194" s="205"/>
    </row>
    <row r="195" spans="1:17" s="18" customFormat="1">
      <c r="A195" s="170"/>
      <c r="B195" s="121" t="s">
        <v>76</v>
      </c>
      <c r="C195" s="966" t="s">
        <v>46</v>
      </c>
      <c r="D195" s="226">
        <v>0.82899999999999996</v>
      </c>
      <c r="E195" s="104">
        <f>D195*E194</f>
        <v>140.93</v>
      </c>
      <c r="F195" s="221"/>
      <c r="G195" s="73"/>
      <c r="H195" s="221"/>
      <c r="I195" s="227">
        <f>H195*E195</f>
        <v>0</v>
      </c>
      <c r="J195" s="221"/>
      <c r="K195" s="227"/>
      <c r="L195" s="127">
        <f>K195+I195+G195</f>
        <v>0</v>
      </c>
      <c r="M195" s="298"/>
      <c r="N195" s="52"/>
      <c r="O195" s="52"/>
    </row>
    <row r="196" spans="1:17" s="77" customFormat="1">
      <c r="A196" s="966"/>
      <c r="B196" s="121" t="s">
        <v>53</v>
      </c>
      <c r="C196" s="966" t="s">
        <v>2</v>
      </c>
      <c r="D196" s="123">
        <v>3.8999999999999998E-3</v>
      </c>
      <c r="E196" s="124">
        <f>D196*E194</f>
        <v>0.66299999999999992</v>
      </c>
      <c r="F196" s="125"/>
      <c r="G196" s="73"/>
      <c r="H196" s="125"/>
      <c r="I196" s="73"/>
      <c r="J196" s="125"/>
      <c r="K196" s="175">
        <f>J196*E196</f>
        <v>0</v>
      </c>
      <c r="L196" s="175">
        <f>K196+I196+G196</f>
        <v>0</v>
      </c>
      <c r="M196" s="298"/>
      <c r="N196" s="206"/>
      <c r="O196" s="206"/>
    </row>
    <row r="197" spans="1:17" s="13" customFormat="1" ht="15.75">
      <c r="A197" s="966"/>
      <c r="B197" s="55" t="s">
        <v>336</v>
      </c>
      <c r="C197" s="966" t="s">
        <v>150</v>
      </c>
      <c r="D197" s="133">
        <v>1.03</v>
      </c>
      <c r="E197" s="134">
        <f>D197*E194</f>
        <v>175.1</v>
      </c>
      <c r="F197" s="221"/>
      <c r="G197" s="127">
        <f>F197*E197</f>
        <v>0</v>
      </c>
      <c r="H197" s="125"/>
      <c r="I197" s="73"/>
      <c r="J197" s="125"/>
      <c r="K197" s="73"/>
      <c r="L197" s="73">
        <f>K197+I197+G197</f>
        <v>0</v>
      </c>
      <c r="M197" s="298"/>
      <c r="N197" s="197"/>
      <c r="O197" s="197"/>
    </row>
    <row r="198" spans="1:17" s="77" customFormat="1">
      <c r="A198" s="1058"/>
      <c r="B198" s="55" t="s">
        <v>54</v>
      </c>
      <c r="C198" s="966" t="s">
        <v>2</v>
      </c>
      <c r="D198" s="631">
        <v>1.6E-2</v>
      </c>
      <c r="E198" s="104">
        <f>D198*E194</f>
        <v>2.72</v>
      </c>
      <c r="F198" s="125"/>
      <c r="G198" s="73">
        <f>F198*E198</f>
        <v>0</v>
      </c>
      <c r="H198" s="166"/>
      <c r="I198" s="58"/>
      <c r="J198" s="166"/>
      <c r="K198" s="58"/>
      <c r="L198" s="73">
        <f>K198+I198+G198</f>
        <v>0</v>
      </c>
      <c r="M198" s="298"/>
      <c r="N198" s="206"/>
      <c r="O198" s="206"/>
    </row>
    <row r="199" spans="1:17" s="77" customFormat="1">
      <c r="A199" s="1058"/>
      <c r="B199" s="763"/>
      <c r="C199" s="742"/>
      <c r="D199" s="752"/>
      <c r="E199" s="781"/>
      <c r="F199" s="753"/>
      <c r="G199" s="746"/>
      <c r="H199" s="993"/>
      <c r="I199" s="765"/>
      <c r="J199" s="993"/>
      <c r="K199" s="765"/>
      <c r="L199" s="746"/>
      <c r="M199" s="298"/>
      <c r="N199" s="206"/>
      <c r="O199" s="206"/>
    </row>
    <row r="200" spans="1:17" s="77" customFormat="1">
      <c r="A200" s="1058"/>
      <c r="B200" s="878" t="s">
        <v>215</v>
      </c>
      <c r="C200" s="742"/>
      <c r="D200" s="752"/>
      <c r="E200" s="781"/>
      <c r="F200" s="753"/>
      <c r="G200" s="746"/>
      <c r="H200" s="993"/>
      <c r="I200" s="765"/>
      <c r="J200" s="993"/>
      <c r="K200" s="765"/>
      <c r="L200" s="746"/>
      <c r="M200" s="298"/>
      <c r="N200" s="206"/>
      <c r="O200" s="206"/>
    </row>
    <row r="201" spans="1:17" s="310" customFormat="1" ht="36.6" customHeight="1">
      <c r="A201" s="1059">
        <v>39</v>
      </c>
      <c r="B201" s="339" t="s">
        <v>390</v>
      </c>
      <c r="C201" s="347" t="s">
        <v>51</v>
      </c>
      <c r="D201" s="513"/>
      <c r="E201" s="475">
        <f>4*75.52/1000</f>
        <v>0.30207999999999996</v>
      </c>
      <c r="F201" s="473"/>
      <c r="G201" s="354"/>
      <c r="H201" s="475"/>
      <c r="I201" s="344"/>
      <c r="J201" s="475"/>
      <c r="K201" s="344"/>
      <c r="L201" s="354"/>
      <c r="M201" s="355"/>
    </row>
    <row r="202" spans="1:17">
      <c r="A202" s="750"/>
      <c r="B202" s="121" t="s">
        <v>45</v>
      </c>
      <c r="C202" s="967" t="s">
        <v>46</v>
      </c>
      <c r="D202" s="123">
        <v>34.9</v>
      </c>
      <c r="E202" s="124">
        <f>D202*E201</f>
        <v>10.542591999999997</v>
      </c>
      <c r="F202" s="125"/>
      <c r="G202" s="73"/>
      <c r="H202" s="125"/>
      <c r="I202" s="73">
        <f>H202*E202</f>
        <v>0</v>
      </c>
      <c r="J202" s="125"/>
      <c r="K202" s="73"/>
      <c r="L202" s="73">
        <f>K202+I202+G202</f>
        <v>0</v>
      </c>
      <c r="M202" s="298"/>
    </row>
    <row r="203" spans="1:17" s="512" customFormat="1" ht="14.45" customHeight="1">
      <c r="A203" s="870"/>
      <c r="B203" s="871" t="s">
        <v>314</v>
      </c>
      <c r="C203" s="655" t="s">
        <v>65</v>
      </c>
      <c r="D203" s="872"/>
      <c r="E203" s="872">
        <v>4</v>
      </c>
      <c r="F203" s="872"/>
      <c r="G203" s="417">
        <f>F203*E203</f>
        <v>0</v>
      </c>
      <c r="H203" s="417"/>
      <c r="I203" s="419"/>
      <c r="J203" s="417"/>
      <c r="K203" s="419"/>
      <c r="L203" s="1015">
        <f t="shared" ref="L203" si="17">K203+I203+G203</f>
        <v>0</v>
      </c>
    </row>
    <row r="204" spans="1:17" s="13" customFormat="1" ht="40.5">
      <c r="A204" s="347">
        <v>40</v>
      </c>
      <c r="B204" s="339" t="s">
        <v>72</v>
      </c>
      <c r="C204" s="347" t="s">
        <v>163</v>
      </c>
      <c r="D204" s="489"/>
      <c r="E204" s="475">
        <f>4*9.62</f>
        <v>38.479999999999997</v>
      </c>
      <c r="F204" s="353"/>
      <c r="G204" s="354"/>
      <c r="H204" s="353"/>
      <c r="I204" s="354"/>
      <c r="J204" s="353"/>
      <c r="K204" s="354"/>
      <c r="L204" s="354"/>
      <c r="M204" s="298"/>
      <c r="N204" s="197"/>
      <c r="O204" s="197"/>
    </row>
    <row r="205" spans="1:17" s="1" customFormat="1" ht="15.75">
      <c r="A205" s="742"/>
      <c r="B205" s="743" t="s">
        <v>45</v>
      </c>
      <c r="C205" s="742" t="s">
        <v>150</v>
      </c>
      <c r="D205" s="744">
        <v>1</v>
      </c>
      <c r="E205" s="744">
        <f>D205*E204</f>
        <v>38.479999999999997</v>
      </c>
      <c r="F205" s="742"/>
      <c r="G205" s="742"/>
      <c r="H205" s="746"/>
      <c r="I205" s="746">
        <f>H205*E205</f>
        <v>0</v>
      </c>
      <c r="J205" s="742"/>
      <c r="K205" s="746"/>
      <c r="L205" s="746">
        <f>K205+I205+G205</f>
        <v>0</v>
      </c>
      <c r="M205" s="391"/>
      <c r="N205" s="391"/>
      <c r="O205" s="391"/>
      <c r="P205" s="391"/>
      <c r="Q205" s="391"/>
    </row>
    <row r="206" spans="1:17" s="13" customFormat="1" ht="15">
      <c r="A206" s="117"/>
      <c r="B206" s="121" t="s">
        <v>53</v>
      </c>
      <c r="C206" s="967" t="s">
        <v>70</v>
      </c>
      <c r="D206" s="631">
        <v>2.9999999999999997E-4</v>
      </c>
      <c r="E206" s="104">
        <f>D206*E204</f>
        <v>1.1543999999999999E-2</v>
      </c>
      <c r="F206" s="103"/>
      <c r="G206" s="156"/>
      <c r="H206" s="104"/>
      <c r="I206" s="136"/>
      <c r="J206" s="104"/>
      <c r="K206" s="127">
        <f>J206*E206</f>
        <v>0</v>
      </c>
      <c r="L206" s="127">
        <f>K206+I206+G206</f>
        <v>0</v>
      </c>
      <c r="M206" s="298"/>
      <c r="N206" s="197"/>
      <c r="O206" s="197"/>
    </row>
    <row r="207" spans="1:17" s="13" customFormat="1" ht="27">
      <c r="A207" s="967"/>
      <c r="B207" s="55" t="s">
        <v>383</v>
      </c>
      <c r="C207" s="967" t="s">
        <v>60</v>
      </c>
      <c r="D207" s="104">
        <f>(25.1+0.2+2.7)*0.01</f>
        <v>0.28000000000000003</v>
      </c>
      <c r="E207" s="104">
        <f>D207*E204</f>
        <v>10.7744</v>
      </c>
      <c r="F207" s="125"/>
      <c r="G207" s="73">
        <f>F207*E207</f>
        <v>0</v>
      </c>
      <c r="H207" s="125"/>
      <c r="I207" s="73"/>
      <c r="J207" s="125"/>
      <c r="K207" s="73"/>
      <c r="L207" s="73">
        <f>K207+I207+G207</f>
        <v>0</v>
      </c>
      <c r="M207" s="298"/>
      <c r="N207" s="197"/>
      <c r="O207" s="197"/>
    </row>
    <row r="208" spans="1:17" s="391" customFormat="1" ht="21.95" customHeight="1">
      <c r="A208" s="742"/>
      <c r="B208" s="763" t="s">
        <v>73</v>
      </c>
      <c r="C208" s="801" t="s">
        <v>60</v>
      </c>
      <c r="D208" s="802">
        <v>0.15</v>
      </c>
      <c r="E208" s="803">
        <f>D208*E204</f>
        <v>5.7719999999999994</v>
      </c>
      <c r="F208" s="746"/>
      <c r="G208" s="746">
        <f>F208*E208</f>
        <v>0</v>
      </c>
      <c r="H208" s="742"/>
      <c r="I208" s="746"/>
      <c r="J208" s="742"/>
      <c r="K208" s="742"/>
      <c r="L208" s="746">
        <f>K208+I208+G208</f>
        <v>0</v>
      </c>
    </row>
    <row r="209" spans="1:17" s="13" customFormat="1" ht="15">
      <c r="A209" s="117"/>
      <c r="B209" s="157" t="s">
        <v>54</v>
      </c>
      <c r="C209" s="967" t="s">
        <v>2</v>
      </c>
      <c r="D209" s="631">
        <v>1.9E-3</v>
      </c>
      <c r="E209" s="104">
        <f>D209*E204</f>
        <v>7.3111999999999996E-2</v>
      </c>
      <c r="F209" s="104"/>
      <c r="G209" s="127">
        <f>F209*E209</f>
        <v>0</v>
      </c>
      <c r="H209" s="104"/>
      <c r="I209" s="136"/>
      <c r="J209" s="135"/>
      <c r="K209" s="136"/>
      <c r="L209" s="127">
        <f>K209+I209+G209</f>
        <v>0</v>
      </c>
      <c r="M209" s="298"/>
      <c r="N209" s="197"/>
      <c r="O209" s="197"/>
    </row>
    <row r="210" spans="1:17" s="206" customFormat="1">
      <c r="A210" s="170"/>
      <c r="B210" s="394" t="s">
        <v>188</v>
      </c>
      <c r="C210" s="966"/>
      <c r="D210" s="631"/>
      <c r="E210" s="104"/>
      <c r="F210" s="141"/>
      <c r="G210" s="145"/>
      <c r="H210" s="141"/>
      <c r="I210" s="145"/>
      <c r="J210" s="141"/>
      <c r="K210" s="145"/>
      <c r="L210" s="145"/>
      <c r="M210" s="298"/>
    </row>
    <row r="211" spans="1:17" s="1" customFormat="1" ht="15">
      <c r="A211" s="395">
        <v>41</v>
      </c>
      <c r="B211" s="397" t="s">
        <v>142</v>
      </c>
      <c r="C211" s="396" t="s">
        <v>143</v>
      </c>
      <c r="D211" s="398"/>
      <c r="E211" s="396">
        <v>35.450000000000003</v>
      </c>
      <c r="F211" s="398"/>
      <c r="G211" s="399"/>
      <c r="H211" s="399"/>
      <c r="I211" s="400"/>
      <c r="J211" s="400"/>
      <c r="K211" s="400"/>
      <c r="L211" s="372"/>
      <c r="M211" s="391"/>
      <c r="N211" s="391"/>
      <c r="O211" s="391"/>
      <c r="P211" s="391"/>
      <c r="Q211" s="391"/>
    </row>
    <row r="212" spans="1:17" s="1" customFormat="1" ht="15">
      <c r="A212" s="273"/>
      <c r="B212" s="100" t="s">
        <v>45</v>
      </c>
      <c r="C212" s="122" t="s">
        <v>46</v>
      </c>
      <c r="D212" s="242">
        <v>0.74</v>
      </c>
      <c r="E212" s="242">
        <f>D212*E211</f>
        <v>26.233000000000001</v>
      </c>
      <c r="F212" s="242"/>
      <c r="G212" s="242"/>
      <c r="H212" s="244"/>
      <c r="I212" s="244">
        <f>H212*E212</f>
        <v>0</v>
      </c>
      <c r="J212" s="242"/>
      <c r="K212" s="242"/>
      <c r="L212" s="244">
        <f t="shared" ref="L212:L217" si="18">K212+I212+G212</f>
        <v>0</v>
      </c>
      <c r="M212" s="391"/>
      <c r="N212" s="391"/>
      <c r="O212" s="391"/>
      <c r="P212" s="391"/>
      <c r="Q212" s="391"/>
    </row>
    <row r="213" spans="1:17" s="1" customFormat="1" ht="15">
      <c r="A213" s="273"/>
      <c r="B213" s="100" t="s">
        <v>66</v>
      </c>
      <c r="C213" s="150" t="s">
        <v>70</v>
      </c>
      <c r="D213" s="242">
        <v>7.1000000000000004E-3</v>
      </c>
      <c r="E213" s="244">
        <f>D213*E211</f>
        <v>0.25169500000000006</v>
      </c>
      <c r="F213" s="242"/>
      <c r="G213" s="242"/>
      <c r="H213" s="242"/>
      <c r="I213" s="242"/>
      <c r="J213" s="244"/>
      <c r="K213" s="244">
        <f>J213*E213</f>
        <v>0</v>
      </c>
      <c r="L213" s="244">
        <f t="shared" si="18"/>
        <v>0</v>
      </c>
      <c r="M213" s="391"/>
      <c r="N213" s="391"/>
      <c r="O213" s="391"/>
      <c r="P213" s="391"/>
      <c r="Q213" s="391"/>
    </row>
    <row r="214" spans="1:17" s="1" customFormat="1" ht="15">
      <c r="A214" s="272"/>
      <c r="B214" s="274" t="s">
        <v>144</v>
      </c>
      <c r="C214" s="150" t="s">
        <v>69</v>
      </c>
      <c r="D214" s="318">
        <v>1</v>
      </c>
      <c r="E214" s="150">
        <f>D214*E211</f>
        <v>35.450000000000003</v>
      </c>
      <c r="F214" s="884"/>
      <c r="G214" s="271">
        <f>E214*F214</f>
        <v>0</v>
      </c>
      <c r="H214" s="271"/>
      <c r="I214" s="318"/>
      <c r="J214" s="318"/>
      <c r="K214" s="318"/>
      <c r="L214" s="244">
        <f t="shared" si="18"/>
        <v>0</v>
      </c>
      <c r="M214" s="391"/>
      <c r="N214" s="391"/>
      <c r="O214" s="391"/>
      <c r="P214" s="391"/>
      <c r="Q214" s="391"/>
    </row>
    <row r="215" spans="1:17" s="1" customFormat="1" ht="15.75">
      <c r="A215" s="272"/>
      <c r="B215" s="334" t="s">
        <v>56</v>
      </c>
      <c r="C215" s="242" t="s">
        <v>139</v>
      </c>
      <c r="D215" s="150">
        <v>3.9E-2</v>
      </c>
      <c r="E215" s="271">
        <f>D215*E211</f>
        <v>1.3825500000000002</v>
      </c>
      <c r="F215" s="781"/>
      <c r="G215" s="271">
        <f>E215*F215</f>
        <v>0</v>
      </c>
      <c r="H215" s="271"/>
      <c r="I215" s="318"/>
      <c r="J215" s="318"/>
      <c r="K215" s="318"/>
      <c r="L215" s="244">
        <f t="shared" si="18"/>
        <v>0</v>
      </c>
      <c r="M215" s="391"/>
      <c r="N215" s="391"/>
      <c r="O215" s="391"/>
      <c r="P215" s="391"/>
      <c r="Q215" s="391"/>
    </row>
    <row r="216" spans="1:17" s="1" customFormat="1" ht="15.75">
      <c r="A216" s="272"/>
      <c r="B216" s="334" t="s">
        <v>89</v>
      </c>
      <c r="C216" s="242" t="s">
        <v>139</v>
      </c>
      <c r="D216" s="150">
        <v>5.9999999999999995E-4</v>
      </c>
      <c r="E216" s="271">
        <f>D216*E211</f>
        <v>2.1270000000000001E-2</v>
      </c>
      <c r="F216" s="481"/>
      <c r="G216" s="271">
        <f>E216*F216</f>
        <v>0</v>
      </c>
      <c r="H216" s="271"/>
      <c r="I216" s="318"/>
      <c r="J216" s="318"/>
      <c r="K216" s="318"/>
      <c r="L216" s="244">
        <f t="shared" si="18"/>
        <v>0</v>
      </c>
      <c r="M216" s="391"/>
      <c r="N216" s="391"/>
      <c r="O216" s="391"/>
      <c r="P216" s="391"/>
      <c r="Q216" s="391"/>
    </row>
    <row r="217" spans="1:17" s="1" customFormat="1" ht="15">
      <c r="A217" s="272"/>
      <c r="B217" s="100" t="s">
        <v>54</v>
      </c>
      <c r="C217" s="122" t="s">
        <v>2</v>
      </c>
      <c r="D217" s="150">
        <v>9.6000000000000002E-2</v>
      </c>
      <c r="E217" s="271">
        <f>D217*E211</f>
        <v>3.4032000000000004</v>
      </c>
      <c r="F217" s="271"/>
      <c r="G217" s="271">
        <f>F217*E217</f>
        <v>0</v>
      </c>
      <c r="H217" s="150"/>
      <c r="I217" s="318"/>
      <c r="J217" s="318"/>
      <c r="K217" s="318"/>
      <c r="L217" s="244">
        <f t="shared" si="18"/>
        <v>0</v>
      </c>
      <c r="M217" s="391"/>
      <c r="N217" s="391"/>
      <c r="O217" s="391"/>
      <c r="P217" s="391"/>
      <c r="Q217" s="391"/>
    </row>
    <row r="218" spans="1:17" s="409" customFormat="1" ht="40.5">
      <c r="A218" s="401">
        <v>42</v>
      </c>
      <c r="B218" s="402" t="s">
        <v>418</v>
      </c>
      <c r="C218" s="403" t="s">
        <v>189</v>
      </c>
      <c r="D218" s="404"/>
      <c r="E218" s="430">
        <v>819.2</v>
      </c>
      <c r="F218" s="406"/>
      <c r="G218" s="406"/>
      <c r="H218" s="407"/>
      <c r="I218" s="407"/>
      <c r="J218" s="407"/>
      <c r="K218" s="407"/>
      <c r="L218" s="408"/>
    </row>
    <row r="219" spans="1:17" s="409" customFormat="1" ht="15" customHeight="1">
      <c r="A219" s="410"/>
      <c r="B219" s="411" t="s">
        <v>113</v>
      </c>
      <c r="C219" s="412" t="s">
        <v>64</v>
      </c>
      <c r="D219" s="412">
        <v>3.3000000000000002E-2</v>
      </c>
      <c r="E219" s="413">
        <f>E218*D219</f>
        <v>27.033600000000003</v>
      </c>
      <c r="F219" s="414"/>
      <c r="G219" s="414"/>
      <c r="H219" s="413"/>
      <c r="I219" s="413">
        <f>H219*E219</f>
        <v>0</v>
      </c>
      <c r="J219" s="414"/>
      <c r="K219" s="414"/>
      <c r="L219" s="393">
        <f t="shared" ref="L219:L226" si="19">K219+I219+G219</f>
        <v>0</v>
      </c>
    </row>
    <row r="220" spans="1:17" s="409" customFormat="1" ht="15" customHeight="1">
      <c r="A220" s="410"/>
      <c r="B220" s="411" t="s">
        <v>190</v>
      </c>
      <c r="C220" s="412" t="s">
        <v>67</v>
      </c>
      <c r="D220" s="412">
        <v>4.2000000000000002E-4</v>
      </c>
      <c r="E220" s="413">
        <f>E218*D220</f>
        <v>0.34406400000000004</v>
      </c>
      <c r="F220" s="414"/>
      <c r="G220" s="414"/>
      <c r="H220" s="414"/>
      <c r="I220" s="414"/>
      <c r="J220" s="750"/>
      <c r="K220" s="413">
        <f>J220*E220</f>
        <v>0</v>
      </c>
      <c r="L220" s="393">
        <f t="shared" si="19"/>
        <v>0</v>
      </c>
    </row>
    <row r="221" spans="1:17" s="409" customFormat="1" ht="15" customHeight="1">
      <c r="A221" s="410"/>
      <c r="B221" s="411" t="s">
        <v>191</v>
      </c>
      <c r="C221" s="412" t="s">
        <v>67</v>
      </c>
      <c r="D221" s="412">
        <v>2.5799999999999998E-3</v>
      </c>
      <c r="E221" s="413">
        <f>E218*D221</f>
        <v>2.1135359999999999</v>
      </c>
      <c r="F221" s="414"/>
      <c r="G221" s="414"/>
      <c r="H221" s="414"/>
      <c r="I221" s="414"/>
      <c r="J221" s="824"/>
      <c r="K221" s="413">
        <f>J221*E221</f>
        <v>0</v>
      </c>
      <c r="L221" s="393">
        <f t="shared" si="19"/>
        <v>0</v>
      </c>
    </row>
    <row r="222" spans="1:17" s="256" customFormat="1" ht="15.75">
      <c r="A222" s="410"/>
      <c r="B222" s="411" t="s">
        <v>192</v>
      </c>
      <c r="C222" s="412" t="s">
        <v>67</v>
      </c>
      <c r="D222" s="412">
        <v>1.12E-2</v>
      </c>
      <c r="E222" s="413">
        <f>E218*D222</f>
        <v>9.175040000000001</v>
      </c>
      <c r="F222" s="414"/>
      <c r="G222" s="414"/>
      <c r="H222" s="414"/>
      <c r="I222" s="414"/>
      <c r="J222" s="746"/>
      <c r="K222" s="413">
        <f>J222*E222</f>
        <v>0</v>
      </c>
      <c r="L222" s="393">
        <f t="shared" si="19"/>
        <v>0</v>
      </c>
    </row>
    <row r="223" spans="1:17" s="256" customFormat="1" ht="15.75">
      <c r="A223" s="410"/>
      <c r="B223" s="411" t="s">
        <v>193</v>
      </c>
      <c r="C223" s="412" t="s">
        <v>67</v>
      </c>
      <c r="D223" s="412">
        <v>0.248</v>
      </c>
      <c r="E223" s="413">
        <f>E218*D223</f>
        <v>203.16160000000002</v>
      </c>
      <c r="F223" s="414"/>
      <c r="G223" s="414"/>
      <c r="H223" s="414"/>
      <c r="I223" s="414"/>
      <c r="J223" s="746"/>
      <c r="K223" s="413">
        <f>J223*E223</f>
        <v>0</v>
      </c>
      <c r="L223" s="393">
        <f t="shared" si="19"/>
        <v>0</v>
      </c>
    </row>
    <row r="224" spans="1:17" s="433" customFormat="1" ht="13.5" customHeight="1">
      <c r="A224" s="415"/>
      <c r="B224" s="432" t="s">
        <v>149</v>
      </c>
      <c r="C224" s="428" t="s">
        <v>47</v>
      </c>
      <c r="D224" s="416">
        <v>4.1399999999999996E-3</v>
      </c>
      <c r="E224" s="1060">
        <f>D224*E218</f>
        <v>3.3914879999999998</v>
      </c>
      <c r="F224" s="416"/>
      <c r="G224" s="417"/>
      <c r="H224" s="418"/>
      <c r="I224" s="419"/>
      <c r="J224" s="800"/>
      <c r="K224" s="419">
        <f>J224*E224</f>
        <v>0</v>
      </c>
      <c r="L224" s="419">
        <f t="shared" si="19"/>
        <v>0</v>
      </c>
    </row>
    <row r="225" spans="1:17" s="422" customFormat="1" ht="15.75">
      <c r="A225" s="410"/>
      <c r="B225" s="411" t="s">
        <v>194</v>
      </c>
      <c r="C225" s="392" t="s">
        <v>166</v>
      </c>
      <c r="D225" s="412">
        <v>0.14899999999999999</v>
      </c>
      <c r="E225" s="413">
        <f>E218*D225</f>
        <v>122.0608</v>
      </c>
      <c r="F225" s="462"/>
      <c r="G225" s="413">
        <f>F225*E225</f>
        <v>0</v>
      </c>
      <c r="H225" s="414"/>
      <c r="I225" s="414"/>
      <c r="J225" s="414"/>
      <c r="K225" s="414"/>
      <c r="L225" s="393">
        <f t="shared" si="19"/>
        <v>0</v>
      </c>
      <c r="M225" s="421"/>
      <c r="N225" s="421"/>
      <c r="O225" s="421"/>
      <c r="P225" s="421"/>
      <c r="Q225" s="421"/>
    </row>
    <row r="226" spans="1:17" s="891" customFormat="1" ht="15.75">
      <c r="A226" s="750"/>
      <c r="B226" s="747" t="s">
        <v>146</v>
      </c>
      <c r="C226" s="750" t="s">
        <v>151</v>
      </c>
      <c r="D226" s="887">
        <v>1.0999999999999999E-2</v>
      </c>
      <c r="E226" s="750">
        <f>D226*E218</f>
        <v>9.0112000000000005</v>
      </c>
      <c r="F226" s="888"/>
      <c r="G226" s="889">
        <f>F226*E226</f>
        <v>0</v>
      </c>
      <c r="H226" s="889"/>
      <c r="I226" s="889"/>
      <c r="J226" s="889"/>
      <c r="K226" s="889"/>
      <c r="L226" s="955">
        <f t="shared" si="19"/>
        <v>0</v>
      </c>
      <c r="M226" s="890"/>
      <c r="N226" s="890"/>
      <c r="O226" s="890"/>
      <c r="P226" s="890"/>
      <c r="Q226" s="890"/>
    </row>
    <row r="227" spans="1:17" s="409" customFormat="1" ht="40.5">
      <c r="A227" s="401">
        <v>43</v>
      </c>
      <c r="B227" s="402" t="s">
        <v>334</v>
      </c>
      <c r="C227" s="403" t="s">
        <v>189</v>
      </c>
      <c r="D227" s="404"/>
      <c r="E227" s="430">
        <v>819.2</v>
      </c>
      <c r="F227" s="406"/>
      <c r="G227" s="406"/>
      <c r="H227" s="407"/>
      <c r="I227" s="407"/>
      <c r="J227" s="407"/>
      <c r="K227" s="407"/>
      <c r="L227" s="408"/>
    </row>
    <row r="228" spans="1:17" s="409" customFormat="1" ht="15" customHeight="1">
      <c r="A228" s="410"/>
      <c r="B228" s="411" t="s">
        <v>113</v>
      </c>
      <c r="C228" s="412" t="s">
        <v>64</v>
      </c>
      <c r="D228" s="412">
        <v>3.3000000000000002E-2</v>
      </c>
      <c r="E228" s="413">
        <f>E227*D228</f>
        <v>27.033600000000003</v>
      </c>
      <c r="F228" s="414"/>
      <c r="G228" s="414"/>
      <c r="H228" s="413"/>
      <c r="I228" s="413">
        <f>H228*E228</f>
        <v>0</v>
      </c>
      <c r="J228" s="414"/>
      <c r="K228" s="414"/>
      <c r="L228" s="393">
        <f t="shared" ref="L228:L235" si="20">K228+I228+G228</f>
        <v>0</v>
      </c>
    </row>
    <row r="229" spans="1:17" s="409" customFormat="1" ht="15" customHeight="1">
      <c r="A229" s="410"/>
      <c r="B229" s="411" t="s">
        <v>190</v>
      </c>
      <c r="C229" s="412" t="s">
        <v>67</v>
      </c>
      <c r="D229" s="412">
        <v>4.2000000000000002E-4</v>
      </c>
      <c r="E229" s="413">
        <f>E227*D229</f>
        <v>0.34406400000000004</v>
      </c>
      <c r="F229" s="414"/>
      <c r="G229" s="414"/>
      <c r="H229" s="414"/>
      <c r="I229" s="414"/>
      <c r="J229" s="750"/>
      <c r="K229" s="413">
        <f>J229*E229</f>
        <v>0</v>
      </c>
      <c r="L229" s="393">
        <f t="shared" si="20"/>
        <v>0</v>
      </c>
    </row>
    <row r="230" spans="1:17" s="409" customFormat="1" ht="15" customHeight="1">
      <c r="A230" s="410"/>
      <c r="B230" s="411" t="s">
        <v>191</v>
      </c>
      <c r="C230" s="412" t="s">
        <v>67</v>
      </c>
      <c r="D230" s="412">
        <v>2.5799999999999998E-3</v>
      </c>
      <c r="E230" s="413">
        <f>E227*D230</f>
        <v>2.1135359999999999</v>
      </c>
      <c r="F230" s="414"/>
      <c r="G230" s="414"/>
      <c r="H230" s="414"/>
      <c r="I230" s="414"/>
      <c r="J230" s="824"/>
      <c r="K230" s="413">
        <f>J230*E230</f>
        <v>0</v>
      </c>
      <c r="L230" s="393">
        <f t="shared" si="20"/>
        <v>0</v>
      </c>
    </row>
    <row r="231" spans="1:17" s="256" customFormat="1" ht="15.75">
      <c r="A231" s="410"/>
      <c r="B231" s="411" t="s">
        <v>192</v>
      </c>
      <c r="C231" s="412" t="s">
        <v>67</v>
      </c>
      <c r="D231" s="412">
        <v>1.12E-2</v>
      </c>
      <c r="E231" s="413">
        <f>E227*D231</f>
        <v>9.175040000000001</v>
      </c>
      <c r="F231" s="414"/>
      <c r="G231" s="414"/>
      <c r="H231" s="414"/>
      <c r="I231" s="414"/>
      <c r="J231" s="746"/>
      <c r="K231" s="413">
        <f>J231*E231</f>
        <v>0</v>
      </c>
      <c r="L231" s="393">
        <f t="shared" si="20"/>
        <v>0</v>
      </c>
    </row>
    <row r="232" spans="1:17" s="256" customFormat="1" ht="15.75">
      <c r="A232" s="410"/>
      <c r="B232" s="411" t="s">
        <v>193</v>
      </c>
      <c r="C232" s="412" t="s">
        <v>67</v>
      </c>
      <c r="D232" s="412">
        <v>0.248</v>
      </c>
      <c r="E232" s="413">
        <f>E227*D232</f>
        <v>203.16160000000002</v>
      </c>
      <c r="F232" s="414"/>
      <c r="G232" s="414"/>
      <c r="H232" s="414"/>
      <c r="I232" s="414"/>
      <c r="J232" s="746"/>
      <c r="K232" s="413">
        <f>J232*E232</f>
        <v>0</v>
      </c>
      <c r="L232" s="393">
        <f t="shared" si="20"/>
        <v>0</v>
      </c>
    </row>
    <row r="233" spans="1:17" s="433" customFormat="1" ht="13.5" customHeight="1">
      <c r="A233" s="415"/>
      <c r="B233" s="432" t="s">
        <v>149</v>
      </c>
      <c r="C233" s="428" t="s">
        <v>47</v>
      </c>
      <c r="D233" s="416">
        <v>4.1399999999999996E-3</v>
      </c>
      <c r="E233" s="1060">
        <f>D233*E227</f>
        <v>3.3914879999999998</v>
      </c>
      <c r="F233" s="416"/>
      <c r="G233" s="417"/>
      <c r="H233" s="418"/>
      <c r="I233" s="419"/>
      <c r="J233" s="800"/>
      <c r="K233" s="419">
        <f>J233*E233</f>
        <v>0</v>
      </c>
      <c r="L233" s="419">
        <f t="shared" si="20"/>
        <v>0</v>
      </c>
    </row>
    <row r="234" spans="1:17" s="422" customFormat="1" ht="15.75">
      <c r="A234" s="410"/>
      <c r="B234" s="411" t="s">
        <v>194</v>
      </c>
      <c r="C234" s="392" t="s">
        <v>166</v>
      </c>
      <c r="D234" s="412">
        <v>0.14899999999999999</v>
      </c>
      <c r="E234" s="413">
        <f>E227*D234</f>
        <v>122.0608</v>
      </c>
      <c r="F234" s="462"/>
      <c r="G234" s="413">
        <f>F234*E234</f>
        <v>0</v>
      </c>
      <c r="H234" s="414"/>
      <c r="I234" s="414"/>
      <c r="J234" s="414"/>
      <c r="K234" s="414"/>
      <c r="L234" s="393">
        <f t="shared" si="20"/>
        <v>0</v>
      </c>
      <c r="M234" s="421"/>
      <c r="N234" s="421"/>
      <c r="O234" s="421"/>
      <c r="P234" s="421"/>
      <c r="Q234" s="421"/>
    </row>
    <row r="235" spans="1:17" s="891" customFormat="1" ht="15.75">
      <c r="A235" s="750"/>
      <c r="B235" s="747" t="s">
        <v>146</v>
      </c>
      <c r="C235" s="750" t="s">
        <v>151</v>
      </c>
      <c r="D235" s="887">
        <v>1.0999999999999999E-2</v>
      </c>
      <c r="E235" s="750">
        <f>D235*E227</f>
        <v>9.0112000000000005</v>
      </c>
      <c r="F235" s="888"/>
      <c r="G235" s="889">
        <f>F235*E235</f>
        <v>0</v>
      </c>
      <c r="H235" s="889"/>
      <c r="I235" s="889"/>
      <c r="J235" s="889"/>
      <c r="K235" s="889"/>
      <c r="L235" s="955">
        <f t="shared" si="20"/>
        <v>0</v>
      </c>
      <c r="M235" s="890"/>
      <c r="N235" s="890"/>
      <c r="O235" s="890"/>
      <c r="P235" s="890"/>
      <c r="Q235" s="890"/>
    </row>
    <row r="236" spans="1:17" s="427" customFormat="1" ht="15.75">
      <c r="A236" s="401">
        <v>44</v>
      </c>
      <c r="B236" s="402" t="s">
        <v>195</v>
      </c>
      <c r="C236" s="403" t="s">
        <v>51</v>
      </c>
      <c r="D236" s="423"/>
      <c r="E236" s="852">
        <v>0.48799999999999999</v>
      </c>
      <c r="F236" s="405"/>
      <c r="G236" s="405"/>
      <c r="H236" s="424"/>
      <c r="I236" s="424"/>
      <c r="J236" s="424"/>
      <c r="K236" s="424"/>
      <c r="L236" s="425"/>
      <c r="M236" s="426"/>
      <c r="N236" s="426"/>
      <c r="O236" s="426"/>
      <c r="P236" s="426"/>
      <c r="Q236" s="426"/>
    </row>
    <row r="237" spans="1:17" s="422" customFormat="1" ht="15.75">
      <c r="A237" s="410"/>
      <c r="B237" s="411" t="s">
        <v>196</v>
      </c>
      <c r="C237" s="412" t="s">
        <v>67</v>
      </c>
      <c r="D237" s="412">
        <v>0.3</v>
      </c>
      <c r="E237" s="413">
        <f>D237*E236</f>
        <v>0.1464</v>
      </c>
      <c r="F237" s="413"/>
      <c r="G237" s="413"/>
      <c r="H237" s="414"/>
      <c r="I237" s="414"/>
      <c r="J237" s="393"/>
      <c r="K237" s="413">
        <f>J237*E237</f>
        <v>0</v>
      </c>
      <c r="L237" s="393">
        <f>K237+I237+G237</f>
        <v>0</v>
      </c>
      <c r="M237" s="421"/>
      <c r="N237" s="421"/>
      <c r="O237" s="421"/>
      <c r="P237" s="421"/>
      <c r="Q237" s="421"/>
    </row>
    <row r="238" spans="1:17" s="422" customFormat="1" ht="15.75">
      <c r="A238" s="410"/>
      <c r="B238" s="411" t="s">
        <v>197</v>
      </c>
      <c r="C238" s="392" t="s">
        <v>51</v>
      </c>
      <c r="D238" s="412">
        <v>1.03</v>
      </c>
      <c r="E238" s="413">
        <f>D238*E236</f>
        <v>0.50263999999999998</v>
      </c>
      <c r="F238" s="413"/>
      <c r="G238" s="413">
        <f>F238*E238</f>
        <v>0</v>
      </c>
      <c r="H238" s="414"/>
      <c r="I238" s="414"/>
      <c r="J238" s="414"/>
      <c r="K238" s="414"/>
      <c r="L238" s="393">
        <f>K238+I238+G238</f>
        <v>0</v>
      </c>
      <c r="M238" s="421"/>
      <c r="N238" s="421"/>
      <c r="O238" s="421"/>
      <c r="P238" s="421"/>
      <c r="Q238" s="421"/>
    </row>
    <row r="239" spans="1:17" s="422" customFormat="1" ht="41.25">
      <c r="A239" s="401">
        <v>45</v>
      </c>
      <c r="B239" s="402" t="s">
        <v>435</v>
      </c>
      <c r="C239" s="403" t="s">
        <v>189</v>
      </c>
      <c r="D239" s="404"/>
      <c r="E239" s="430">
        <v>819.2</v>
      </c>
      <c r="F239" s="406"/>
      <c r="G239" s="405"/>
      <c r="H239" s="424"/>
      <c r="I239" s="424"/>
      <c r="J239" s="424"/>
      <c r="K239" s="424"/>
      <c r="L239" s="408"/>
      <c r="M239" s="421"/>
      <c r="N239" s="421"/>
      <c r="O239" s="421"/>
      <c r="P239" s="421"/>
      <c r="Q239" s="421"/>
    </row>
    <row r="240" spans="1:17" s="422" customFormat="1" ht="15.75">
      <c r="A240" s="410"/>
      <c r="B240" s="411" t="s">
        <v>113</v>
      </c>
      <c r="C240" s="428" t="s">
        <v>165</v>
      </c>
      <c r="D240" s="412">
        <v>1</v>
      </c>
      <c r="E240" s="413">
        <f>D240*E239</f>
        <v>819.2</v>
      </c>
      <c r="F240" s="414"/>
      <c r="G240" s="414"/>
      <c r="H240" s="413"/>
      <c r="I240" s="413">
        <f>H240*E240</f>
        <v>0</v>
      </c>
      <c r="J240" s="414"/>
      <c r="K240" s="414"/>
      <c r="L240" s="393">
        <f t="shared" ref="L240:L246" si="21">K240+I240+G240</f>
        <v>0</v>
      </c>
      <c r="M240" s="421"/>
      <c r="N240" s="421"/>
      <c r="O240" s="421"/>
      <c r="P240" s="421"/>
      <c r="Q240" s="421"/>
    </row>
    <row r="241" spans="1:17" s="422" customFormat="1" ht="15.75">
      <c r="A241" s="410"/>
      <c r="B241" s="411" t="s">
        <v>198</v>
      </c>
      <c r="C241" s="412" t="s">
        <v>67</v>
      </c>
      <c r="D241" s="412">
        <v>3.0200000000000001E-3</v>
      </c>
      <c r="E241" s="413">
        <f>D241*E239</f>
        <v>2.4739840000000002</v>
      </c>
      <c r="F241" s="414"/>
      <c r="G241" s="414"/>
      <c r="H241" s="413"/>
      <c r="I241" s="413"/>
      <c r="J241" s="413"/>
      <c r="K241" s="413">
        <f>J241*E241</f>
        <v>0</v>
      </c>
      <c r="L241" s="393">
        <f t="shared" si="21"/>
        <v>0</v>
      </c>
      <c r="M241" s="421"/>
      <c r="N241" s="421"/>
      <c r="O241" s="421"/>
      <c r="P241" s="421"/>
      <c r="Q241" s="421"/>
    </row>
    <row r="242" spans="1:17" s="256" customFormat="1" ht="15.75">
      <c r="A242" s="410"/>
      <c r="B242" s="411" t="s">
        <v>192</v>
      </c>
      <c r="C242" s="412" t="s">
        <v>67</v>
      </c>
      <c r="D242" s="412">
        <v>3.7000000000000002E-3</v>
      </c>
      <c r="E242" s="413">
        <f>E239*D242</f>
        <v>3.0310400000000004</v>
      </c>
      <c r="F242" s="414"/>
      <c r="G242" s="414"/>
      <c r="H242" s="414"/>
      <c r="I242" s="414"/>
      <c r="J242" s="746"/>
      <c r="K242" s="413">
        <f>J242*E242</f>
        <v>0</v>
      </c>
      <c r="L242" s="393">
        <f t="shared" si="21"/>
        <v>0</v>
      </c>
    </row>
    <row r="243" spans="1:17" s="256" customFormat="1" ht="15.75">
      <c r="A243" s="410"/>
      <c r="B243" s="411" t="s">
        <v>193</v>
      </c>
      <c r="C243" s="412" t="s">
        <v>67</v>
      </c>
      <c r="D243" s="412">
        <v>1.11E-2</v>
      </c>
      <c r="E243" s="413">
        <f>E239*D243</f>
        <v>9.0931200000000008</v>
      </c>
      <c r="F243" s="414"/>
      <c r="G243" s="414"/>
      <c r="H243" s="414"/>
      <c r="I243" s="414"/>
      <c r="J243" s="746"/>
      <c r="K243" s="413">
        <f>J243*E243</f>
        <v>0</v>
      </c>
      <c r="L243" s="393">
        <f t="shared" si="21"/>
        <v>0</v>
      </c>
    </row>
    <row r="244" spans="1:17" s="256" customFormat="1" ht="15.75" customHeight="1">
      <c r="A244" s="410"/>
      <c r="B244" s="411" t="s">
        <v>199</v>
      </c>
      <c r="C244" s="412" t="s">
        <v>70</v>
      </c>
      <c r="D244" s="412">
        <v>2.3E-3</v>
      </c>
      <c r="E244" s="413">
        <f>E239*D244</f>
        <v>1.8841600000000001</v>
      </c>
      <c r="F244" s="414"/>
      <c r="G244" s="414"/>
      <c r="H244" s="414"/>
      <c r="I244" s="414"/>
      <c r="J244" s="413"/>
      <c r="K244" s="413">
        <f>J244*E244</f>
        <v>0</v>
      </c>
      <c r="L244" s="393">
        <f t="shared" si="21"/>
        <v>0</v>
      </c>
    </row>
    <row r="245" spans="1:17" s="429" customFormat="1" ht="29.25" customHeight="1">
      <c r="A245" s="410"/>
      <c r="B245" s="411" t="s">
        <v>200</v>
      </c>
      <c r="C245" s="392" t="s">
        <v>157</v>
      </c>
      <c r="D245" s="412">
        <f>4*12.1/1000+0.0974</f>
        <v>0.14579999999999999</v>
      </c>
      <c r="E245" s="413">
        <f>E239*D245</f>
        <v>119.43935999999999</v>
      </c>
      <c r="F245" s="413"/>
      <c r="G245" s="413">
        <f>F245*E245</f>
        <v>0</v>
      </c>
      <c r="H245" s="414"/>
      <c r="I245" s="414"/>
      <c r="J245" s="414"/>
      <c r="K245" s="414"/>
      <c r="L245" s="393">
        <f t="shared" si="21"/>
        <v>0</v>
      </c>
    </row>
    <row r="246" spans="1:17" s="422" customFormat="1" ht="15.75">
      <c r="A246" s="410"/>
      <c r="B246" s="411" t="s">
        <v>201</v>
      </c>
      <c r="C246" s="412" t="s">
        <v>70</v>
      </c>
      <c r="D246" s="412">
        <f>0.0145+4*0.2/1000</f>
        <v>1.5300000000000001E-2</v>
      </c>
      <c r="E246" s="413">
        <f>E239*D246</f>
        <v>12.533760000000001</v>
      </c>
      <c r="F246" s="413"/>
      <c r="G246" s="413">
        <f>F246*E246</f>
        <v>0</v>
      </c>
      <c r="H246" s="414"/>
      <c r="I246" s="414"/>
      <c r="J246" s="414"/>
      <c r="K246" s="414"/>
      <c r="L246" s="393">
        <f t="shared" si="21"/>
        <v>0</v>
      </c>
      <c r="M246" s="421"/>
      <c r="N246" s="421"/>
      <c r="O246" s="421"/>
      <c r="P246" s="421"/>
      <c r="Q246" s="421"/>
    </row>
    <row r="247" spans="1:17" s="422" customFormat="1" ht="41.25">
      <c r="A247" s="401">
        <v>46</v>
      </c>
      <c r="B247" s="402" t="s">
        <v>436</v>
      </c>
      <c r="C247" s="403" t="s">
        <v>189</v>
      </c>
      <c r="D247" s="404"/>
      <c r="E247" s="405">
        <f>E239</f>
        <v>819.2</v>
      </c>
      <c r="F247" s="406"/>
      <c r="G247" s="405"/>
      <c r="H247" s="424"/>
      <c r="I247" s="424"/>
      <c r="J247" s="424"/>
      <c r="K247" s="424"/>
      <c r="L247" s="408"/>
      <c r="M247" s="421"/>
      <c r="N247" s="421"/>
      <c r="O247" s="421"/>
      <c r="P247" s="421"/>
      <c r="Q247" s="421"/>
    </row>
    <row r="248" spans="1:17" s="422" customFormat="1" ht="15.75">
      <c r="A248" s="410"/>
      <c r="B248" s="411" t="s">
        <v>113</v>
      </c>
      <c r="C248" s="428" t="s">
        <v>165</v>
      </c>
      <c r="D248" s="412">
        <v>1</v>
      </c>
      <c r="E248" s="413">
        <f>D248*E247</f>
        <v>819.2</v>
      </c>
      <c r="F248" s="414"/>
      <c r="G248" s="414"/>
      <c r="H248" s="413"/>
      <c r="I248" s="413">
        <f>H248*E248</f>
        <v>0</v>
      </c>
      <c r="J248" s="414"/>
      <c r="K248" s="414"/>
      <c r="L248" s="393">
        <f t="shared" ref="L248:L254" si="22">K248+I248+G248</f>
        <v>0</v>
      </c>
      <c r="M248" s="421"/>
      <c r="N248" s="421"/>
      <c r="O248" s="421"/>
      <c r="P248" s="421"/>
      <c r="Q248" s="421"/>
    </row>
    <row r="249" spans="1:17" s="422" customFormat="1" ht="15.75">
      <c r="A249" s="410"/>
      <c r="B249" s="411" t="s">
        <v>198</v>
      </c>
      <c r="C249" s="412" t="s">
        <v>67</v>
      </c>
      <c r="D249" s="412">
        <v>3.0200000000000001E-3</v>
      </c>
      <c r="E249" s="413">
        <f>D249*E247</f>
        <v>2.4739840000000002</v>
      </c>
      <c r="F249" s="414"/>
      <c r="G249" s="414"/>
      <c r="H249" s="413"/>
      <c r="I249" s="413"/>
      <c r="J249" s="413"/>
      <c r="K249" s="413">
        <f>J249*E249</f>
        <v>0</v>
      </c>
      <c r="L249" s="393">
        <f t="shared" si="22"/>
        <v>0</v>
      </c>
      <c r="M249" s="421"/>
      <c r="N249" s="421"/>
      <c r="O249" s="421"/>
      <c r="P249" s="421"/>
      <c r="Q249" s="421"/>
    </row>
    <row r="250" spans="1:17" s="256" customFormat="1" ht="15.75">
      <c r="A250" s="410"/>
      <c r="B250" s="411" t="s">
        <v>192</v>
      </c>
      <c r="C250" s="412" t="s">
        <v>67</v>
      </c>
      <c r="D250" s="412">
        <v>3.7000000000000002E-3</v>
      </c>
      <c r="E250" s="413">
        <f>E247*D250</f>
        <v>3.0310400000000004</v>
      </c>
      <c r="F250" s="414"/>
      <c r="G250" s="414"/>
      <c r="H250" s="414"/>
      <c r="I250" s="414"/>
      <c r="J250" s="746"/>
      <c r="K250" s="413">
        <f>J250*E250</f>
        <v>0</v>
      </c>
      <c r="L250" s="393">
        <f t="shared" si="22"/>
        <v>0</v>
      </c>
    </row>
    <row r="251" spans="1:17" s="256" customFormat="1" ht="15.75">
      <c r="A251" s="410"/>
      <c r="B251" s="411" t="s">
        <v>193</v>
      </c>
      <c r="C251" s="412" t="s">
        <v>67</v>
      </c>
      <c r="D251" s="412">
        <v>1.11E-2</v>
      </c>
      <c r="E251" s="413">
        <f>E247*D251</f>
        <v>9.0931200000000008</v>
      </c>
      <c r="F251" s="414"/>
      <c r="G251" s="414"/>
      <c r="H251" s="414"/>
      <c r="I251" s="414"/>
      <c r="J251" s="746"/>
      <c r="K251" s="413">
        <f>J251*E251</f>
        <v>0</v>
      </c>
      <c r="L251" s="393">
        <f t="shared" si="22"/>
        <v>0</v>
      </c>
    </row>
    <row r="252" spans="1:17" s="409" customFormat="1" ht="15" customHeight="1">
      <c r="A252" s="410"/>
      <c r="B252" s="411" t="s">
        <v>199</v>
      </c>
      <c r="C252" s="412" t="s">
        <v>70</v>
      </c>
      <c r="D252" s="412">
        <v>2.3E-3</v>
      </c>
      <c r="E252" s="413">
        <f>E247*D252</f>
        <v>1.8841600000000001</v>
      </c>
      <c r="F252" s="414"/>
      <c r="G252" s="414"/>
      <c r="H252" s="414"/>
      <c r="I252" s="414"/>
      <c r="J252" s="413"/>
      <c r="K252" s="413">
        <f>J252*E252</f>
        <v>0</v>
      </c>
      <c r="L252" s="393">
        <f t="shared" si="22"/>
        <v>0</v>
      </c>
    </row>
    <row r="253" spans="1:17" s="303" customFormat="1" ht="27">
      <c r="A253" s="410"/>
      <c r="B253" s="411" t="s">
        <v>202</v>
      </c>
      <c r="C253" s="392" t="s">
        <v>157</v>
      </c>
      <c r="D253" s="412">
        <f>0.0939+2*11.7/1000</f>
        <v>0.11729999999999999</v>
      </c>
      <c r="E253" s="413">
        <f>E247*D253</f>
        <v>96.092159999999993</v>
      </c>
      <c r="F253" s="413"/>
      <c r="G253" s="413">
        <f>F253*E253</f>
        <v>0</v>
      </c>
      <c r="H253" s="414"/>
      <c r="I253" s="414"/>
      <c r="J253" s="414"/>
      <c r="K253" s="414"/>
      <c r="L253" s="393">
        <f t="shared" si="22"/>
        <v>0</v>
      </c>
    </row>
    <row r="254" spans="1:17" s="409" customFormat="1" ht="15" customHeight="1">
      <c r="A254" s="410"/>
      <c r="B254" s="411" t="s">
        <v>201</v>
      </c>
      <c r="C254" s="412" t="s">
        <v>70</v>
      </c>
      <c r="D254" s="412">
        <f>0.0145+2*0.2/1000</f>
        <v>1.49E-2</v>
      </c>
      <c r="E254" s="413">
        <f>E247*D254</f>
        <v>12.20608</v>
      </c>
      <c r="F254" s="413"/>
      <c r="G254" s="413">
        <f>F254*E254</f>
        <v>0</v>
      </c>
      <c r="H254" s="414"/>
      <c r="I254" s="414"/>
      <c r="J254" s="414"/>
      <c r="K254" s="414"/>
      <c r="L254" s="393">
        <f t="shared" si="22"/>
        <v>0</v>
      </c>
    </row>
    <row r="255" spans="1:17" s="439" customFormat="1" ht="37.5" customHeight="1">
      <c r="A255" s="434">
        <v>47</v>
      </c>
      <c r="B255" s="435" t="s">
        <v>350</v>
      </c>
      <c r="C255" s="403" t="s">
        <v>156</v>
      </c>
      <c r="D255" s="436"/>
      <c r="E255" s="437">
        <f>138*0.4</f>
        <v>55.2</v>
      </c>
      <c r="F255" s="436"/>
      <c r="G255" s="438"/>
      <c r="H255" s="437"/>
      <c r="I255" s="437"/>
      <c r="J255" s="437"/>
      <c r="K255" s="437"/>
      <c r="L255" s="437"/>
    </row>
    <row r="256" spans="1:17" s="266" customFormat="1">
      <c r="A256" s="454"/>
      <c r="B256" s="455" t="s">
        <v>45</v>
      </c>
      <c r="C256" s="456" t="s">
        <v>140</v>
      </c>
      <c r="D256" s="457">
        <v>3.52</v>
      </c>
      <c r="E256" s="458">
        <f>D256*E255</f>
        <v>194.304</v>
      </c>
      <c r="F256" s="393"/>
      <c r="G256" s="393"/>
      <c r="H256" s="393"/>
      <c r="I256" s="393">
        <f>H256*E256</f>
        <v>0</v>
      </c>
      <c r="J256" s="393"/>
      <c r="K256" s="393"/>
      <c r="L256" s="393">
        <f>K256+I256+G256</f>
        <v>0</v>
      </c>
    </row>
    <row r="257" spans="1:15" s="433" customFormat="1" ht="15">
      <c r="A257" s="392"/>
      <c r="B257" s="455" t="s">
        <v>53</v>
      </c>
      <c r="C257" s="456" t="s">
        <v>2</v>
      </c>
      <c r="D257" s="459">
        <v>1.06</v>
      </c>
      <c r="E257" s="1061">
        <f>D257*E255</f>
        <v>58.512000000000008</v>
      </c>
      <c r="F257" s="392"/>
      <c r="G257" s="392"/>
      <c r="H257" s="392"/>
      <c r="I257" s="392"/>
      <c r="J257" s="392"/>
      <c r="K257" s="393">
        <f>E257*J257</f>
        <v>0</v>
      </c>
      <c r="L257" s="393">
        <f>K257+I257+G257</f>
        <v>0</v>
      </c>
    </row>
    <row r="258" spans="1:15" s="463" customFormat="1" ht="13.5" customHeight="1">
      <c r="A258" s="440"/>
      <c r="B258" s="460" t="s">
        <v>49</v>
      </c>
      <c r="C258" s="456" t="s">
        <v>151</v>
      </c>
      <c r="D258" s="461">
        <v>1.24</v>
      </c>
      <c r="E258" s="1062">
        <f>D258*E255</f>
        <v>68.448000000000008</v>
      </c>
      <c r="F258" s="462"/>
      <c r="G258" s="393">
        <f>F258*E258</f>
        <v>0</v>
      </c>
      <c r="H258" s="392"/>
      <c r="I258" s="392"/>
      <c r="J258" s="392"/>
      <c r="K258" s="392"/>
      <c r="L258" s="393">
        <f>K258+I258+G258</f>
        <v>0</v>
      </c>
    </row>
    <row r="259" spans="1:15" s="433" customFormat="1" ht="15">
      <c r="A259" s="392"/>
      <c r="B259" s="455" t="s">
        <v>54</v>
      </c>
      <c r="C259" s="456" t="s">
        <v>2</v>
      </c>
      <c r="D259" s="459">
        <v>0.02</v>
      </c>
      <c r="E259" s="1061">
        <f>D259*E255</f>
        <v>1.1040000000000001</v>
      </c>
      <c r="F259" s="392"/>
      <c r="G259" s="393">
        <f>F259*E259</f>
        <v>0</v>
      </c>
      <c r="H259" s="392"/>
      <c r="I259" s="392"/>
      <c r="J259" s="392"/>
      <c r="K259" s="392"/>
      <c r="L259" s="393">
        <f>K259+I259+G259</f>
        <v>0</v>
      </c>
    </row>
    <row r="260" spans="1:15" s="420" customFormat="1" ht="27">
      <c r="A260" s="441">
        <v>48</v>
      </c>
      <c r="B260" s="442" t="s">
        <v>316</v>
      </c>
      <c r="C260" s="441" t="s">
        <v>160</v>
      </c>
      <c r="D260" s="443"/>
      <c r="E260" s="444">
        <v>138.1</v>
      </c>
      <c r="F260" s="445"/>
      <c r="G260" s="446"/>
      <c r="H260" s="445"/>
      <c r="I260" s="447"/>
      <c r="J260" s="445"/>
      <c r="K260" s="447"/>
      <c r="L260" s="447"/>
    </row>
    <row r="261" spans="1:15" s="433" customFormat="1" ht="15.75">
      <c r="A261" s="431"/>
      <c r="B261" s="455" t="s">
        <v>45</v>
      </c>
      <c r="C261" s="392" t="s">
        <v>150</v>
      </c>
      <c r="D261" s="456">
        <v>1</v>
      </c>
      <c r="E261" s="458">
        <f>E260*D261</f>
        <v>138.1</v>
      </c>
      <c r="F261" s="417"/>
      <c r="G261" s="417"/>
      <c r="H261" s="417"/>
      <c r="I261" s="419">
        <f>H261*E261</f>
        <v>0</v>
      </c>
      <c r="J261" s="417"/>
      <c r="K261" s="419"/>
      <c r="L261" s="419">
        <f t="shared" ref="L261:L271" si="23">K261+I261+G261</f>
        <v>0</v>
      </c>
    </row>
    <row r="262" spans="1:15" s="433" customFormat="1" ht="15">
      <c r="A262" s="415"/>
      <c r="B262" s="432" t="s">
        <v>145</v>
      </c>
      <c r="C262" s="416" t="s">
        <v>47</v>
      </c>
      <c r="D262" s="416">
        <v>2.2599999999999999E-2</v>
      </c>
      <c r="E262" s="419">
        <f>D262*E260</f>
        <v>3.1210599999999995</v>
      </c>
      <c r="F262" s="416"/>
      <c r="G262" s="417"/>
      <c r="H262" s="418"/>
      <c r="I262" s="419"/>
      <c r="J262" s="800"/>
      <c r="K262" s="419">
        <f>J262*E262</f>
        <v>0</v>
      </c>
      <c r="L262" s="419">
        <f t="shared" si="23"/>
        <v>0</v>
      </c>
    </row>
    <row r="263" spans="1:15" s="433" customFormat="1" ht="15">
      <c r="A263" s="431"/>
      <c r="B263" s="455" t="s">
        <v>48</v>
      </c>
      <c r="C263" s="456" t="s">
        <v>2</v>
      </c>
      <c r="D263" s="459">
        <v>1.35E-2</v>
      </c>
      <c r="E263" s="464">
        <f>E260*D263</f>
        <v>1.86435</v>
      </c>
      <c r="F263" s="417"/>
      <c r="G263" s="417"/>
      <c r="H263" s="417"/>
      <c r="I263" s="419"/>
      <c r="J263" s="417"/>
      <c r="K263" s="419">
        <f>J263*E263</f>
        <v>0</v>
      </c>
      <c r="L263" s="419">
        <f t="shared" si="23"/>
        <v>0</v>
      </c>
    </row>
    <row r="264" spans="1:15" s="433" customFormat="1" ht="15.75">
      <c r="A264" s="431"/>
      <c r="B264" s="455" t="s">
        <v>203</v>
      </c>
      <c r="C264" s="456" t="s">
        <v>151</v>
      </c>
      <c r="D264" s="459">
        <f>(204+5*10.2)/1000</f>
        <v>0.255</v>
      </c>
      <c r="E264" s="464">
        <f>D264*E260</f>
        <v>35.215499999999999</v>
      </c>
      <c r="F264" s="417"/>
      <c r="G264" s="417">
        <f t="shared" ref="G264:G271" si="24">F264*E264</f>
        <v>0</v>
      </c>
      <c r="H264" s="417"/>
      <c r="I264" s="419"/>
      <c r="J264" s="417"/>
      <c r="K264" s="419"/>
      <c r="L264" s="419">
        <f t="shared" si="23"/>
        <v>0</v>
      </c>
    </row>
    <row r="265" spans="1:15" s="522" customFormat="1" ht="24" customHeight="1">
      <c r="A265" s="525"/>
      <c r="B265" s="527" t="s">
        <v>218</v>
      </c>
      <c r="C265" s="524" t="s">
        <v>51</v>
      </c>
      <c r="D265" s="510"/>
      <c r="E265" s="1063">
        <f>3*1.01/1000*35.2/11</f>
        <v>9.6960000000000015E-3</v>
      </c>
      <c r="F265" s="793"/>
      <c r="G265" s="875">
        <f t="shared" si="24"/>
        <v>0</v>
      </c>
      <c r="H265" s="526"/>
      <c r="I265" s="526"/>
      <c r="J265" s="526"/>
      <c r="K265" s="526"/>
      <c r="L265" s="511">
        <f t="shared" si="23"/>
        <v>0</v>
      </c>
      <c r="M265" s="528"/>
      <c r="N265" s="528"/>
      <c r="O265" s="523"/>
    </row>
    <row r="266" spans="1:15" s="433" customFormat="1" ht="15">
      <c r="A266" s="431"/>
      <c r="B266" s="465" t="s">
        <v>204</v>
      </c>
      <c r="C266" s="456" t="s">
        <v>51</v>
      </c>
      <c r="D266" s="459"/>
      <c r="E266" s="1063">
        <f>14*1.01/1000*35.2/11</f>
        <v>4.5248000000000003E-2</v>
      </c>
      <c r="F266" s="794"/>
      <c r="G266" s="417">
        <f t="shared" si="24"/>
        <v>0</v>
      </c>
      <c r="H266" s="417"/>
      <c r="I266" s="419"/>
      <c r="J266" s="417"/>
      <c r="K266" s="419"/>
      <c r="L266" s="419">
        <f t="shared" si="23"/>
        <v>0</v>
      </c>
    </row>
    <row r="267" spans="1:15" ht="13.5" customHeight="1">
      <c r="A267" s="695"/>
      <c r="B267" s="697" t="s">
        <v>313</v>
      </c>
      <c r="C267" s="655" t="s">
        <v>51</v>
      </c>
      <c r="D267" s="861"/>
      <c r="E267" s="1064">
        <f>394/1000*1.01*35.2/11</f>
        <v>1.2734080000000001</v>
      </c>
      <c r="F267" s="862"/>
      <c r="G267" s="634">
        <f t="shared" si="24"/>
        <v>0</v>
      </c>
      <c r="H267" s="863"/>
      <c r="I267" s="864"/>
      <c r="J267" s="865"/>
      <c r="K267" s="865"/>
      <c r="L267" s="634">
        <f t="shared" si="23"/>
        <v>0</v>
      </c>
    </row>
    <row r="268" spans="1:15" s="433" customFormat="1" ht="15.75">
      <c r="A268" s="448"/>
      <c r="B268" s="455" t="s">
        <v>147</v>
      </c>
      <c r="C268" s="392" t="s">
        <v>150</v>
      </c>
      <c r="D268" s="392">
        <v>1.17E-2</v>
      </c>
      <c r="E268" s="393">
        <f>D268*E260</f>
        <v>1.6157699999999999</v>
      </c>
      <c r="F268" s="746"/>
      <c r="G268" s="449">
        <f t="shared" si="24"/>
        <v>0</v>
      </c>
      <c r="H268" s="393"/>
      <c r="I268" s="450"/>
      <c r="J268" s="448"/>
      <c r="K268" s="448"/>
      <c r="L268" s="449">
        <f t="shared" si="23"/>
        <v>0</v>
      </c>
    </row>
    <row r="269" spans="1:15" s="433" customFormat="1" ht="15.75">
      <c r="A269" s="431"/>
      <c r="B269" s="465" t="s">
        <v>146</v>
      </c>
      <c r="C269" s="456" t="s">
        <v>151</v>
      </c>
      <c r="D269" s="459">
        <v>0.17799999999999999</v>
      </c>
      <c r="E269" s="464">
        <f>D269*E260</f>
        <v>24.581799999999998</v>
      </c>
      <c r="F269" s="466"/>
      <c r="G269" s="417">
        <f t="shared" si="24"/>
        <v>0</v>
      </c>
      <c r="H269" s="417"/>
      <c r="I269" s="419"/>
      <c r="J269" s="417"/>
      <c r="K269" s="419"/>
      <c r="L269" s="419">
        <f t="shared" si="23"/>
        <v>0</v>
      </c>
    </row>
    <row r="270" spans="1:15" s="433" customFormat="1" ht="15.75">
      <c r="A270" s="431"/>
      <c r="B270" s="465" t="s">
        <v>138</v>
      </c>
      <c r="C270" s="456" t="s">
        <v>151</v>
      </c>
      <c r="D270" s="459">
        <v>0.04</v>
      </c>
      <c r="E270" s="464">
        <f>D270*E260</f>
        <v>5.524</v>
      </c>
      <c r="F270" s="466"/>
      <c r="G270" s="417">
        <f t="shared" si="24"/>
        <v>0</v>
      </c>
      <c r="H270" s="417"/>
      <c r="I270" s="419"/>
      <c r="J270" s="417"/>
      <c r="K270" s="419"/>
      <c r="L270" s="419">
        <f t="shared" si="23"/>
        <v>0</v>
      </c>
    </row>
    <row r="271" spans="1:15" s="433" customFormat="1" ht="15">
      <c r="A271" s="431"/>
      <c r="B271" s="455" t="s">
        <v>54</v>
      </c>
      <c r="C271" s="456" t="s">
        <v>2</v>
      </c>
      <c r="D271" s="459">
        <v>6.4000000000000003E-3</v>
      </c>
      <c r="E271" s="464">
        <f>E260*D271</f>
        <v>0.88383999999999996</v>
      </c>
      <c r="F271" s="417"/>
      <c r="G271" s="417">
        <f t="shared" si="24"/>
        <v>0</v>
      </c>
      <c r="H271" s="417"/>
      <c r="I271" s="419"/>
      <c r="J271" s="417"/>
      <c r="K271" s="419"/>
      <c r="L271" s="419">
        <f t="shared" si="23"/>
        <v>0</v>
      </c>
    </row>
    <row r="272" spans="1:15" s="470" customFormat="1" ht="15.75">
      <c r="A272" s="441">
        <v>49</v>
      </c>
      <c r="B272" s="468" t="s">
        <v>206</v>
      </c>
      <c r="C272" s="403" t="s">
        <v>160</v>
      </c>
      <c r="D272" s="469"/>
      <c r="E272" s="444">
        <v>138.1</v>
      </c>
      <c r="F272" s="445"/>
      <c r="G272" s="445"/>
      <c r="H272" s="445"/>
      <c r="I272" s="444"/>
      <c r="J272" s="445"/>
      <c r="K272" s="444"/>
      <c r="L272" s="444"/>
    </row>
    <row r="273" spans="1:17" s="422" customFormat="1" ht="24.75" customHeight="1">
      <c r="A273" s="392"/>
      <c r="B273" s="455" t="s">
        <v>45</v>
      </c>
      <c r="C273" s="428" t="s">
        <v>46</v>
      </c>
      <c r="D273" s="456">
        <v>0.81100000000000005</v>
      </c>
      <c r="E273" s="458">
        <f>D273*E272</f>
        <v>111.9991</v>
      </c>
      <c r="F273" s="393"/>
      <c r="G273" s="393"/>
      <c r="H273" s="393"/>
      <c r="I273" s="393">
        <f>H273*E273</f>
        <v>0</v>
      </c>
      <c r="J273" s="393"/>
      <c r="K273" s="393"/>
      <c r="L273" s="393">
        <f>K273+I273+G273</f>
        <v>0</v>
      </c>
    </row>
    <row r="274" spans="1:17" s="433" customFormat="1" ht="24.75" customHeight="1">
      <c r="A274" s="431"/>
      <c r="B274" s="455" t="s">
        <v>53</v>
      </c>
      <c r="C274" s="456" t="s">
        <v>2</v>
      </c>
      <c r="D274" s="471">
        <v>1.2999999999999999E-2</v>
      </c>
      <c r="E274" s="464">
        <f>D274*E272</f>
        <v>1.7952999999999999</v>
      </c>
      <c r="F274" s="417"/>
      <c r="G274" s="417"/>
      <c r="H274" s="417"/>
      <c r="I274" s="419"/>
      <c r="J274" s="417"/>
      <c r="K274" s="419">
        <f>J274*E274</f>
        <v>0</v>
      </c>
      <c r="L274" s="419">
        <f>K274+I274+G274</f>
        <v>0</v>
      </c>
    </row>
    <row r="275" spans="1:17" s="433" customFormat="1" ht="15">
      <c r="A275" s="431"/>
      <c r="B275" s="455" t="s">
        <v>207</v>
      </c>
      <c r="C275" s="456" t="s">
        <v>51</v>
      </c>
      <c r="D275" s="459">
        <v>1.8599999999999998E-2</v>
      </c>
      <c r="E275" s="464">
        <f>D275*E272</f>
        <v>2.5686599999999995</v>
      </c>
      <c r="F275" s="417"/>
      <c r="G275" s="417">
        <f>F275*E275</f>
        <v>0</v>
      </c>
      <c r="H275" s="417"/>
      <c r="I275" s="419"/>
      <c r="J275" s="417"/>
      <c r="K275" s="419"/>
      <c r="L275" s="419">
        <f>K275+I275+G275</f>
        <v>0</v>
      </c>
    </row>
    <row r="276" spans="1:17" s="433" customFormat="1" ht="15">
      <c r="A276" s="431"/>
      <c r="B276" s="455" t="s">
        <v>71</v>
      </c>
      <c r="C276" s="456" t="s">
        <v>51</v>
      </c>
      <c r="D276" s="459">
        <v>5.0000000000000001E-4</v>
      </c>
      <c r="E276" s="464">
        <f>D276*E272</f>
        <v>6.905E-2</v>
      </c>
      <c r="F276" s="417"/>
      <c r="G276" s="417">
        <f>F276*E276</f>
        <v>0</v>
      </c>
      <c r="H276" s="417"/>
      <c r="I276" s="419"/>
      <c r="J276" s="417"/>
      <c r="K276" s="419"/>
      <c r="L276" s="419">
        <f>K276+I276+G276</f>
        <v>0</v>
      </c>
    </row>
    <row r="277" spans="1:17" s="433" customFormat="1" ht="15">
      <c r="A277" s="431"/>
      <c r="B277" s="455" t="s">
        <v>54</v>
      </c>
      <c r="C277" s="456" t="s">
        <v>2</v>
      </c>
      <c r="D277" s="459">
        <v>0.156</v>
      </c>
      <c r="E277" s="464">
        <f>D277*E272</f>
        <v>21.543599999999998</v>
      </c>
      <c r="F277" s="417"/>
      <c r="G277" s="417">
        <f>F277*E277</f>
        <v>0</v>
      </c>
      <c r="H277" s="417"/>
      <c r="I277" s="419"/>
      <c r="J277" s="417"/>
      <c r="K277" s="419"/>
      <c r="L277" s="419">
        <f>K277+I277+G277</f>
        <v>0</v>
      </c>
    </row>
    <row r="278" spans="1:17" s="453" customFormat="1" ht="47.25" customHeight="1">
      <c r="A278" s="403">
        <v>50</v>
      </c>
      <c r="B278" s="451" t="s">
        <v>205</v>
      </c>
      <c r="C278" s="403" t="s">
        <v>160</v>
      </c>
      <c r="D278" s="452"/>
      <c r="E278" s="444">
        <v>138.1</v>
      </c>
      <c r="F278" s="425"/>
      <c r="G278" s="425"/>
      <c r="H278" s="425"/>
      <c r="I278" s="425"/>
      <c r="J278" s="425"/>
      <c r="K278" s="425"/>
      <c r="L278" s="425"/>
    </row>
    <row r="279" spans="1:17" s="422" customFormat="1" ht="24.75" customHeight="1">
      <c r="A279" s="392"/>
      <c r="B279" s="455" t="s">
        <v>45</v>
      </c>
      <c r="C279" s="428" t="s">
        <v>46</v>
      </c>
      <c r="D279" s="456">
        <f>(2.41+2.02)/100</f>
        <v>4.4299999999999999E-2</v>
      </c>
      <c r="E279" s="458">
        <f>D279*E278</f>
        <v>6.1178299999999997</v>
      </c>
      <c r="F279" s="393"/>
      <c r="G279" s="393"/>
      <c r="H279" s="393"/>
      <c r="I279" s="393">
        <f>H279*E279</f>
        <v>0</v>
      </c>
      <c r="J279" s="393"/>
      <c r="K279" s="393"/>
      <c r="L279" s="393">
        <f>K279+I279+G279</f>
        <v>0</v>
      </c>
    </row>
    <row r="280" spans="1:17" s="433" customFormat="1" ht="24.75" customHeight="1">
      <c r="A280" s="431"/>
      <c r="B280" s="455" t="s">
        <v>53</v>
      </c>
      <c r="C280" s="456" t="s">
        <v>2</v>
      </c>
      <c r="D280" s="459">
        <f>(0.22+0.22)/100</f>
        <v>4.4000000000000003E-3</v>
      </c>
      <c r="E280" s="464">
        <f>D280*E278</f>
        <v>0.60763999999999996</v>
      </c>
      <c r="F280" s="417"/>
      <c r="G280" s="417"/>
      <c r="H280" s="417"/>
      <c r="I280" s="419"/>
      <c r="J280" s="417"/>
      <c r="K280" s="419">
        <f>J280*E280</f>
        <v>0</v>
      </c>
      <c r="L280" s="419">
        <f>K280+I280+G280</f>
        <v>0</v>
      </c>
    </row>
    <row r="281" spans="1:17" s="422" customFormat="1" ht="24.75" customHeight="1">
      <c r="A281" s="392"/>
      <c r="B281" s="467" t="s">
        <v>148</v>
      </c>
      <c r="C281" s="456" t="s">
        <v>60</v>
      </c>
      <c r="D281" s="459">
        <v>0.25</v>
      </c>
      <c r="E281" s="1061">
        <f>D281*E278</f>
        <v>34.524999999999999</v>
      </c>
      <c r="F281" s="393"/>
      <c r="G281" s="393">
        <f>F281*E281</f>
        <v>0</v>
      </c>
      <c r="H281" s="393"/>
      <c r="I281" s="393"/>
      <c r="J281" s="393"/>
      <c r="K281" s="393"/>
      <c r="L281" s="393">
        <f>K281+I281+G281</f>
        <v>0</v>
      </c>
    </row>
    <row r="282" spans="1:17" s="433" customFormat="1" ht="24.75" customHeight="1">
      <c r="A282" s="431"/>
      <c r="B282" s="455" t="s">
        <v>54</v>
      </c>
      <c r="C282" s="456" t="s">
        <v>2</v>
      </c>
      <c r="D282" s="459">
        <v>1.6000000000000001E-3</v>
      </c>
      <c r="E282" s="464">
        <f>D282*E278</f>
        <v>0.22095999999999999</v>
      </c>
      <c r="F282" s="417"/>
      <c r="G282" s="417">
        <f>F282*E282</f>
        <v>0</v>
      </c>
      <c r="H282" s="417"/>
      <c r="I282" s="419"/>
      <c r="J282" s="417"/>
      <c r="K282" s="419"/>
      <c r="L282" s="419">
        <f>K282+I282+G282</f>
        <v>0</v>
      </c>
    </row>
    <row r="283" spans="1:17" s="300" customFormat="1" ht="40.5">
      <c r="A283" s="775">
        <v>51</v>
      </c>
      <c r="B283" s="758" t="s">
        <v>310</v>
      </c>
      <c r="C283" s="738" t="s">
        <v>156</v>
      </c>
      <c r="D283" s="817"/>
      <c r="E283" s="818">
        <f>1.2*1.7*0.1</f>
        <v>0.20400000000000001</v>
      </c>
      <c r="F283" s="818"/>
      <c r="G283" s="788"/>
      <c r="H283" s="818"/>
      <c r="I283" s="788"/>
      <c r="J283" s="818"/>
      <c r="K283" s="788"/>
      <c r="L283" s="788"/>
      <c r="M283" s="298"/>
    </row>
    <row r="284" spans="1:17" s="300" customFormat="1" ht="15.75">
      <c r="A284" s="750"/>
      <c r="B284" s="763" t="s">
        <v>55</v>
      </c>
      <c r="C284" s="742" t="s">
        <v>151</v>
      </c>
      <c r="D284" s="786">
        <v>1</v>
      </c>
      <c r="E284" s="781">
        <f>D284*E283</f>
        <v>0.20400000000000001</v>
      </c>
      <c r="F284" s="781"/>
      <c r="G284" s="756"/>
      <c r="H284" s="781"/>
      <c r="I284" s="756">
        <f>H284*E284</f>
        <v>0</v>
      </c>
      <c r="J284" s="781"/>
      <c r="K284" s="756"/>
      <c r="L284" s="756">
        <f>K284+I284+G284</f>
        <v>0</v>
      </c>
      <c r="M284" s="298"/>
    </row>
    <row r="285" spans="1:17" s="301" customFormat="1">
      <c r="A285" s="779"/>
      <c r="B285" s="751" t="s">
        <v>53</v>
      </c>
      <c r="C285" s="742" t="s">
        <v>2</v>
      </c>
      <c r="D285" s="780">
        <v>0.28299999999999997</v>
      </c>
      <c r="E285" s="794">
        <f>D285*E283</f>
        <v>5.7731999999999999E-2</v>
      </c>
      <c r="F285" s="794"/>
      <c r="G285" s="815"/>
      <c r="H285" s="794"/>
      <c r="I285" s="815"/>
      <c r="J285" s="794"/>
      <c r="K285" s="815">
        <f>J285*E285</f>
        <v>0</v>
      </c>
      <c r="L285" s="815">
        <f>K285+I285+G285</f>
        <v>0</v>
      </c>
      <c r="M285" s="298"/>
    </row>
    <row r="286" spans="1:17" s="300" customFormat="1" ht="15.75">
      <c r="A286" s="750"/>
      <c r="B286" s="763" t="s">
        <v>161</v>
      </c>
      <c r="C286" s="742" t="s">
        <v>151</v>
      </c>
      <c r="D286" s="786">
        <v>1.02</v>
      </c>
      <c r="E286" s="781">
        <f>D286*E283</f>
        <v>0.20808000000000001</v>
      </c>
      <c r="F286" s="781"/>
      <c r="G286" s="746">
        <f>F286*E286</f>
        <v>0</v>
      </c>
      <c r="H286" s="781"/>
      <c r="I286" s="756"/>
      <c r="J286" s="781"/>
      <c r="K286" s="756"/>
      <c r="L286" s="756">
        <f>K286+I286+G286</f>
        <v>0</v>
      </c>
      <c r="M286" s="298"/>
    </row>
    <row r="287" spans="1:17" s="301" customFormat="1">
      <c r="A287" s="779"/>
      <c r="B287" s="768" t="s">
        <v>54</v>
      </c>
      <c r="C287" s="742" t="s">
        <v>2</v>
      </c>
      <c r="D287" s="780">
        <v>0.62</v>
      </c>
      <c r="E287" s="794">
        <f>D287*E283</f>
        <v>0.12648000000000001</v>
      </c>
      <c r="F287" s="794"/>
      <c r="G287" s="816">
        <f>F287*E287</f>
        <v>0</v>
      </c>
      <c r="H287" s="794"/>
      <c r="I287" s="815"/>
      <c r="J287" s="794"/>
      <c r="K287" s="815"/>
      <c r="L287" s="815">
        <f>K287+I287+G287</f>
        <v>0</v>
      </c>
      <c r="M287" s="298"/>
    </row>
    <row r="288" spans="1:17" s="1" customFormat="1" ht="54">
      <c r="A288" s="825">
        <v>52</v>
      </c>
      <c r="B288" s="826" t="s">
        <v>309</v>
      </c>
      <c r="C288" s="825" t="s">
        <v>44</v>
      </c>
      <c r="D288" s="827"/>
      <c r="E288" s="828">
        <f>1*1.5*0.2</f>
        <v>0.30000000000000004</v>
      </c>
      <c r="F288" s="829"/>
      <c r="G288" s="830"/>
      <c r="H288" s="829"/>
      <c r="I288" s="831"/>
      <c r="J288" s="829"/>
      <c r="K288" s="831"/>
      <c r="L288" s="831"/>
      <c r="M288" s="391"/>
      <c r="N288" s="391"/>
      <c r="O288" s="391"/>
      <c r="P288" s="391"/>
      <c r="Q288" s="391"/>
    </row>
    <row r="289" spans="1:17" s="1" customFormat="1" ht="15.75">
      <c r="A289" s="821"/>
      <c r="B289" s="743" t="s">
        <v>45</v>
      </c>
      <c r="C289" s="744" t="s">
        <v>50</v>
      </c>
      <c r="D289" s="744">
        <v>1</v>
      </c>
      <c r="E289" s="745">
        <f>E288*D289</f>
        <v>0.30000000000000004</v>
      </c>
      <c r="F289" s="819"/>
      <c r="G289" s="819"/>
      <c r="H289" s="819"/>
      <c r="I289" s="820">
        <f>H289*E289</f>
        <v>0</v>
      </c>
      <c r="J289" s="819"/>
      <c r="K289" s="820"/>
      <c r="L289" s="820">
        <f t="shared" ref="L289:L295" si="25">K289+I289+G289</f>
        <v>0</v>
      </c>
      <c r="M289" s="391"/>
      <c r="N289" s="391"/>
      <c r="O289" s="391"/>
      <c r="P289" s="391"/>
      <c r="Q289" s="391"/>
    </row>
    <row r="290" spans="1:17" s="1" customFormat="1" ht="15">
      <c r="A290" s="821"/>
      <c r="B290" s="743" t="s">
        <v>53</v>
      </c>
      <c r="C290" s="744" t="s">
        <v>2</v>
      </c>
      <c r="D290" s="766">
        <v>0.77</v>
      </c>
      <c r="E290" s="767">
        <f>E288*D290</f>
        <v>0.23100000000000004</v>
      </c>
      <c r="F290" s="819"/>
      <c r="G290" s="819"/>
      <c r="H290" s="819"/>
      <c r="I290" s="820"/>
      <c r="J290" s="819"/>
      <c r="K290" s="820">
        <f>J290*E290</f>
        <v>0</v>
      </c>
      <c r="L290" s="820">
        <f t="shared" si="25"/>
        <v>0</v>
      </c>
      <c r="M290" s="391"/>
      <c r="N290" s="391"/>
      <c r="O290" s="391"/>
      <c r="P290" s="391"/>
      <c r="Q290" s="391"/>
    </row>
    <row r="291" spans="1:17" s="1" customFormat="1" ht="15.75">
      <c r="A291" s="821"/>
      <c r="B291" s="747" t="s">
        <v>137</v>
      </c>
      <c r="C291" s="744" t="s">
        <v>50</v>
      </c>
      <c r="D291" s="813">
        <v>1.0149999999999999</v>
      </c>
      <c r="E291" s="767">
        <f>E288*D291</f>
        <v>0.30449999999999999</v>
      </c>
      <c r="F291" s="417"/>
      <c r="G291" s="819">
        <f>F291*E291</f>
        <v>0</v>
      </c>
      <c r="H291" s="819"/>
      <c r="I291" s="820"/>
      <c r="J291" s="819"/>
      <c r="K291" s="820"/>
      <c r="L291" s="820">
        <f t="shared" si="25"/>
        <v>0</v>
      </c>
      <c r="M291" s="391"/>
      <c r="N291" s="391"/>
      <c r="O291" s="391"/>
      <c r="P291" s="391"/>
      <c r="Q291" s="391"/>
    </row>
    <row r="292" spans="1:17" s="1" customFormat="1" ht="15">
      <c r="A292" s="821"/>
      <c r="B292" s="743" t="s">
        <v>63</v>
      </c>
      <c r="C292" s="744" t="s">
        <v>51</v>
      </c>
      <c r="D292" s="766"/>
      <c r="E292" s="822">
        <f>29/1000*1.01</f>
        <v>2.929E-2</v>
      </c>
      <c r="F292" s="794"/>
      <c r="G292" s="819">
        <f>F292*E292</f>
        <v>0</v>
      </c>
      <c r="H292" s="819"/>
      <c r="I292" s="820"/>
      <c r="J292" s="819"/>
      <c r="K292" s="820"/>
      <c r="L292" s="820">
        <f t="shared" si="25"/>
        <v>0</v>
      </c>
      <c r="M292" s="391"/>
      <c r="N292" s="391"/>
      <c r="O292" s="391"/>
      <c r="P292" s="391"/>
      <c r="Q292" s="391"/>
    </row>
    <row r="293" spans="1:17" s="1" customFormat="1" ht="27">
      <c r="A293" s="750"/>
      <c r="B293" s="121" t="s">
        <v>209</v>
      </c>
      <c r="C293" s="742" t="s">
        <v>57</v>
      </c>
      <c r="D293" s="742">
        <v>7.5399999999999995E-2</v>
      </c>
      <c r="E293" s="746">
        <f>D293*E288</f>
        <v>2.2620000000000001E-2</v>
      </c>
      <c r="F293" s="746"/>
      <c r="G293" s="756">
        <f t="shared" ref="G293:G295" si="26">F293*E293</f>
        <v>0</v>
      </c>
      <c r="H293" s="746"/>
      <c r="I293" s="781"/>
      <c r="J293" s="750"/>
      <c r="K293" s="750"/>
      <c r="L293" s="756">
        <f t="shared" si="25"/>
        <v>0</v>
      </c>
      <c r="M293" s="391"/>
      <c r="N293" s="391"/>
      <c r="O293" s="391"/>
      <c r="P293" s="391"/>
      <c r="Q293" s="391"/>
    </row>
    <row r="294" spans="1:17" s="2" customFormat="1" ht="15.75">
      <c r="A294" s="779"/>
      <c r="B294" s="768" t="s">
        <v>58</v>
      </c>
      <c r="C294" s="742" t="s">
        <v>50</v>
      </c>
      <c r="D294" s="780">
        <v>8.0000000000000004E-4</v>
      </c>
      <c r="E294" s="780">
        <f>D294*E288</f>
        <v>2.4000000000000006E-4</v>
      </c>
      <c r="F294" s="824"/>
      <c r="G294" s="816">
        <f t="shared" si="26"/>
        <v>0</v>
      </c>
      <c r="H294" s="815"/>
      <c r="I294" s="815"/>
      <c r="J294" s="815"/>
      <c r="K294" s="815"/>
      <c r="L294" s="815">
        <f t="shared" si="25"/>
        <v>0</v>
      </c>
      <c r="M294" s="264"/>
      <c r="N294" s="264"/>
      <c r="O294" s="264"/>
      <c r="P294" s="264"/>
      <c r="Q294" s="264"/>
    </row>
    <row r="295" spans="1:17" s="1" customFormat="1" ht="15">
      <c r="A295" s="821"/>
      <c r="B295" s="743" t="s">
        <v>54</v>
      </c>
      <c r="C295" s="744" t="s">
        <v>2</v>
      </c>
      <c r="D295" s="766">
        <v>7.0000000000000007E-2</v>
      </c>
      <c r="E295" s="767">
        <f>E288*D295</f>
        <v>2.1000000000000005E-2</v>
      </c>
      <c r="F295" s="819"/>
      <c r="G295" s="819">
        <f t="shared" si="26"/>
        <v>0</v>
      </c>
      <c r="H295" s="819"/>
      <c r="I295" s="820"/>
      <c r="J295" s="819"/>
      <c r="K295" s="820"/>
      <c r="L295" s="820">
        <f t="shared" si="25"/>
        <v>0</v>
      </c>
      <c r="M295" s="391"/>
      <c r="N295" s="391"/>
      <c r="O295" s="391"/>
      <c r="P295" s="391"/>
      <c r="Q295" s="391"/>
    </row>
    <row r="296" spans="1:17" s="256" customFormat="1" ht="15.75">
      <c r="A296" s="966"/>
      <c r="B296" s="55"/>
      <c r="C296" s="966"/>
      <c r="D296" s="631"/>
      <c r="E296" s="125"/>
      <c r="F296" s="125"/>
      <c r="G296" s="142"/>
      <c r="H296" s="125"/>
      <c r="I296" s="182"/>
      <c r="J296" s="125"/>
      <c r="K296" s="182"/>
      <c r="L296" s="142"/>
      <c r="M296" s="298"/>
    </row>
    <row r="297" spans="1:17" s="197" customFormat="1" ht="16.5" customHeight="1">
      <c r="A297" s="337"/>
      <c r="B297" s="339" t="s">
        <v>93</v>
      </c>
      <c r="C297" s="340"/>
      <c r="D297" s="341"/>
      <c r="E297" s="342"/>
      <c r="F297" s="342"/>
      <c r="G297" s="344">
        <f>SUM(G9:G296)</f>
        <v>0</v>
      </c>
      <c r="H297" s="342"/>
      <c r="I297" s="344">
        <f>SUM(I9:I296)</f>
        <v>0</v>
      </c>
      <c r="J297" s="343"/>
      <c r="K297" s="344">
        <f>SUM(K9:K296)</f>
        <v>0</v>
      </c>
      <c r="L297" s="344">
        <f>SUM(L9:L296)</f>
        <v>0</v>
      </c>
      <c r="M297" s="298"/>
    </row>
    <row r="298" spans="1:17" s="197" customFormat="1" ht="16.5" customHeight="1">
      <c r="A298" s="750"/>
      <c r="B298" s="763" t="s">
        <v>356</v>
      </c>
      <c r="C298" s="899">
        <v>0.05</v>
      </c>
      <c r="D298" s="752"/>
      <c r="E298" s="753"/>
      <c r="F298" s="753"/>
      <c r="G298" s="756"/>
      <c r="H298" s="753"/>
      <c r="I298" s="756"/>
      <c r="J298" s="755"/>
      <c r="K298" s="756"/>
      <c r="L298" s="756">
        <f>G297*C298</f>
        <v>0</v>
      </c>
      <c r="M298" s="298"/>
    </row>
    <row r="299" spans="1:17" s="197" customFormat="1" ht="16.5" customHeight="1">
      <c r="A299" s="750"/>
      <c r="B299" s="129" t="s">
        <v>21</v>
      </c>
      <c r="C299" s="742"/>
      <c r="D299" s="752"/>
      <c r="E299" s="753"/>
      <c r="F299" s="753"/>
      <c r="G299" s="756"/>
      <c r="H299" s="753"/>
      <c r="I299" s="756"/>
      <c r="J299" s="755"/>
      <c r="K299" s="756"/>
      <c r="L299" s="900">
        <f>L297+L298</f>
        <v>0</v>
      </c>
      <c r="M299" s="298"/>
    </row>
    <row r="300" spans="1:17" s="311" customFormat="1">
      <c r="A300" s="149"/>
      <c r="B300" s="126" t="s">
        <v>94</v>
      </c>
      <c r="C300" s="131" t="s">
        <v>95</v>
      </c>
      <c r="D300" s="118"/>
      <c r="E300" s="104"/>
      <c r="F300" s="104"/>
      <c r="G300" s="127"/>
      <c r="H300" s="104"/>
      <c r="I300" s="104"/>
      <c r="J300" s="104"/>
      <c r="K300" s="127"/>
      <c r="L300" s="127">
        <f>(L299)*C300</f>
        <v>0</v>
      </c>
      <c r="M300" s="298"/>
    </row>
    <row r="301" spans="1:17" s="312" customFormat="1">
      <c r="A301" s="149"/>
      <c r="B301" s="129" t="s">
        <v>21</v>
      </c>
      <c r="C301" s="158"/>
      <c r="D301" s="132"/>
      <c r="E301" s="137"/>
      <c r="F301" s="137"/>
      <c r="G301" s="138"/>
      <c r="H301" s="137"/>
      <c r="I301" s="137"/>
      <c r="J301" s="137"/>
      <c r="K301" s="138"/>
      <c r="L301" s="138">
        <f>L300+L299</f>
        <v>0</v>
      </c>
      <c r="M301" s="298"/>
    </row>
    <row r="302" spans="1:17" s="311" customFormat="1">
      <c r="A302" s="149"/>
      <c r="B302" s="126" t="s">
        <v>97</v>
      </c>
      <c r="C302" s="131" t="s">
        <v>96</v>
      </c>
      <c r="D302" s="118"/>
      <c r="E302" s="104"/>
      <c r="F302" s="104"/>
      <c r="G302" s="127"/>
      <c r="H302" s="104"/>
      <c r="I302" s="104"/>
      <c r="J302" s="104"/>
      <c r="K302" s="127"/>
      <c r="L302" s="127">
        <f>L301*C302</f>
        <v>0</v>
      </c>
      <c r="M302" s="298"/>
    </row>
    <row r="303" spans="1:17" s="310" customFormat="1">
      <c r="A303" s="149"/>
      <c r="B303" s="56" t="s">
        <v>22</v>
      </c>
      <c r="C303" s="515"/>
      <c r="D303" s="132"/>
      <c r="E303" s="137"/>
      <c r="F303" s="137"/>
      <c r="G303" s="138"/>
      <c r="H303" s="137"/>
      <c r="I303" s="137"/>
      <c r="J303" s="137"/>
      <c r="K303" s="138"/>
      <c r="L303" s="138">
        <f>SUM(L301:L302)</f>
        <v>0</v>
      </c>
      <c r="M303" s="298"/>
    </row>
    <row r="304" spans="1:17">
      <c r="C304" s="183"/>
      <c r="D304" s="184"/>
      <c r="E304" s="185"/>
      <c r="F304" s="186"/>
      <c r="G304" s="69"/>
      <c r="H304" s="186"/>
      <c r="I304" s="186"/>
      <c r="J304" s="186"/>
      <c r="K304" s="186"/>
      <c r="L304" s="185"/>
    </row>
    <row r="305" spans="1:17">
      <c r="B305" s="61"/>
      <c r="C305" s="53"/>
      <c r="D305" s="187"/>
      <c r="E305" s="188"/>
      <c r="F305" s="188"/>
      <c r="G305" s="189"/>
      <c r="H305" s="190"/>
      <c r="I305" s="190"/>
      <c r="J305" s="190"/>
      <c r="K305" s="190"/>
      <c r="L305" s="186"/>
    </row>
    <row r="306" spans="1:17" ht="41.25" customHeight="1">
      <c r="B306" s="61"/>
      <c r="C306" s="61"/>
      <c r="D306" s="191"/>
      <c r="E306" s="188"/>
      <c r="F306" s="188"/>
      <c r="G306" s="62"/>
      <c r="H306" s="192"/>
      <c r="I306" s="192"/>
      <c r="J306" s="192"/>
      <c r="K306" s="192"/>
      <c r="L306" s="185"/>
    </row>
    <row r="307" spans="1:17" ht="20.25" customHeight="1">
      <c r="B307" s="61"/>
      <c r="C307" s="61"/>
      <c r="D307" s="191"/>
      <c r="E307" s="188"/>
      <c r="F307" s="188"/>
      <c r="G307" s="62"/>
      <c r="H307" s="193"/>
      <c r="I307" s="193"/>
      <c r="J307" s="193"/>
      <c r="K307" s="193"/>
      <c r="L307" s="185"/>
    </row>
    <row r="308" spans="1:17">
      <c r="D308" s="184"/>
      <c r="E308" s="185"/>
      <c r="F308" s="185"/>
      <c r="G308" s="194"/>
      <c r="H308" s="185"/>
      <c r="I308" s="185"/>
      <c r="J308" s="185"/>
      <c r="K308" s="185"/>
      <c r="L308" s="185"/>
    </row>
    <row r="309" spans="1:17">
      <c r="D309" s="184"/>
      <c r="E309" s="185"/>
      <c r="F309" s="185"/>
      <c r="G309" s="194"/>
      <c r="H309" s="185"/>
      <c r="I309" s="185"/>
      <c r="J309" s="185"/>
      <c r="K309" s="185"/>
      <c r="L309" s="185"/>
    </row>
    <row r="310" spans="1:17">
      <c r="D310" s="184"/>
      <c r="E310" s="185"/>
      <c r="F310" s="185"/>
      <c r="G310" s="194"/>
      <c r="H310" s="185"/>
      <c r="I310" s="185"/>
      <c r="J310" s="185"/>
      <c r="K310" s="185"/>
      <c r="L310" s="185"/>
    </row>
    <row r="311" spans="1:17">
      <c r="D311" s="184"/>
      <c r="E311" s="185"/>
      <c r="F311" s="185"/>
      <c r="G311" s="194"/>
      <c r="H311" s="185"/>
      <c r="I311" s="185"/>
      <c r="J311" s="185"/>
      <c r="K311" s="185"/>
      <c r="L311" s="185"/>
    </row>
    <row r="312" spans="1:17">
      <c r="D312" s="184"/>
      <c r="E312" s="185"/>
      <c r="F312" s="185"/>
      <c r="G312" s="194"/>
      <c r="H312" s="185"/>
      <c r="I312" s="185"/>
      <c r="J312" s="185"/>
      <c r="K312" s="185"/>
      <c r="L312" s="185"/>
    </row>
    <row r="313" spans="1:17">
      <c r="D313" s="184"/>
      <c r="E313" s="185"/>
      <c r="F313" s="185"/>
      <c r="G313" s="194"/>
      <c r="H313" s="185"/>
      <c r="I313" s="185"/>
      <c r="J313" s="185"/>
      <c r="K313" s="185"/>
      <c r="L313" s="185"/>
    </row>
    <row r="314" spans="1:17">
      <c r="D314" s="184"/>
      <c r="E314" s="185"/>
      <c r="F314" s="185"/>
      <c r="G314" s="194"/>
      <c r="H314" s="185"/>
      <c r="I314" s="185"/>
      <c r="J314" s="185"/>
      <c r="K314" s="185"/>
      <c r="L314" s="185"/>
    </row>
    <row r="315" spans="1:17" s="222" customFormat="1">
      <c r="A315" s="65"/>
      <c r="B315" s="20"/>
      <c r="C315" s="54"/>
      <c r="D315" s="184"/>
      <c r="E315" s="185"/>
      <c r="F315" s="185"/>
      <c r="G315" s="194"/>
      <c r="H315" s="185"/>
      <c r="I315" s="185"/>
      <c r="J315" s="185"/>
      <c r="K315" s="185"/>
      <c r="L315" s="185"/>
      <c r="M315" s="265"/>
      <c r="N315" s="265"/>
      <c r="O315" s="265"/>
      <c r="P315" s="265"/>
      <c r="Q315" s="265"/>
    </row>
    <row r="316" spans="1:17" s="222" customFormat="1">
      <c r="A316" s="65"/>
      <c r="B316" s="20"/>
      <c r="C316" s="54"/>
      <c r="D316" s="184"/>
      <c r="E316" s="185"/>
      <c r="F316" s="185"/>
      <c r="G316" s="194"/>
      <c r="H316" s="185"/>
      <c r="I316" s="185"/>
      <c r="J316" s="185"/>
      <c r="K316" s="185"/>
      <c r="L316" s="185"/>
      <c r="M316" s="265"/>
      <c r="N316" s="265"/>
      <c r="O316" s="265"/>
      <c r="P316" s="265"/>
      <c r="Q316" s="265"/>
    </row>
    <row r="317" spans="1:17" s="222" customFormat="1">
      <c r="A317" s="65"/>
      <c r="B317" s="20"/>
      <c r="C317" s="54"/>
      <c r="D317" s="184"/>
      <c r="E317" s="185"/>
      <c r="F317" s="185"/>
      <c r="G317" s="194"/>
      <c r="H317" s="185"/>
      <c r="I317" s="185"/>
      <c r="J317" s="185"/>
      <c r="K317" s="185"/>
      <c r="L317" s="185"/>
      <c r="M317" s="265"/>
      <c r="N317" s="265"/>
      <c r="O317" s="265"/>
      <c r="P317" s="265"/>
      <c r="Q317" s="265"/>
    </row>
    <row r="318" spans="1:17" s="222" customFormat="1">
      <c r="A318" s="65"/>
      <c r="B318" s="20"/>
      <c r="C318" s="54"/>
      <c r="D318" s="184"/>
      <c r="E318" s="185"/>
      <c r="F318" s="185"/>
      <c r="G318" s="194"/>
      <c r="H318" s="185"/>
      <c r="I318" s="185"/>
      <c r="J318" s="185"/>
      <c r="K318" s="185"/>
      <c r="L318" s="185"/>
      <c r="M318" s="265"/>
      <c r="N318" s="265"/>
      <c r="O318" s="265"/>
      <c r="P318" s="265"/>
      <c r="Q318" s="265"/>
    </row>
    <row r="319" spans="1:17" s="222" customFormat="1">
      <c r="A319" s="65"/>
      <c r="B319" s="20"/>
      <c r="C319" s="54"/>
      <c r="D319" s="184"/>
      <c r="E319" s="185"/>
      <c r="F319" s="185"/>
      <c r="G319" s="194"/>
      <c r="H319" s="185"/>
      <c r="I319" s="185"/>
      <c r="J319" s="185"/>
      <c r="K319" s="185"/>
      <c r="L319" s="185"/>
      <c r="M319" s="265"/>
      <c r="N319" s="265"/>
      <c r="O319" s="265"/>
      <c r="P319" s="265"/>
      <c r="Q319" s="265"/>
    </row>
    <row r="320" spans="1:17" s="222" customFormat="1">
      <c r="A320" s="65"/>
      <c r="B320" s="20"/>
      <c r="C320" s="54"/>
      <c r="D320" s="184"/>
      <c r="E320" s="185"/>
      <c r="F320" s="185"/>
      <c r="G320" s="194"/>
      <c r="H320" s="185"/>
      <c r="I320" s="185"/>
      <c r="J320" s="185"/>
      <c r="K320" s="185"/>
      <c r="L320" s="185"/>
      <c r="M320" s="265"/>
      <c r="N320" s="265"/>
      <c r="O320" s="265"/>
      <c r="P320" s="265"/>
      <c r="Q320" s="265"/>
    </row>
    <row r="321" spans="1:17" s="222" customFormat="1">
      <c r="A321" s="65"/>
      <c r="B321" s="20"/>
      <c r="C321" s="54"/>
      <c r="D321" s="184"/>
      <c r="E321" s="185"/>
      <c r="F321" s="185"/>
      <c r="G321" s="194"/>
      <c r="H321" s="185"/>
      <c r="I321" s="185"/>
      <c r="J321" s="185"/>
      <c r="K321" s="185"/>
      <c r="L321" s="185"/>
      <c r="M321" s="265"/>
      <c r="N321" s="265"/>
      <c r="O321" s="265"/>
      <c r="P321" s="265"/>
      <c r="Q321" s="265"/>
    </row>
    <row r="322" spans="1:17" s="222" customFormat="1">
      <c r="A322" s="65"/>
      <c r="B322" s="20"/>
      <c r="C322" s="54"/>
      <c r="D322" s="184"/>
      <c r="E322" s="185"/>
      <c r="F322" s="185"/>
      <c r="G322" s="194"/>
      <c r="H322" s="185"/>
      <c r="I322" s="185"/>
      <c r="J322" s="185"/>
      <c r="K322" s="185"/>
      <c r="L322" s="185"/>
      <c r="M322" s="265"/>
      <c r="N322" s="265"/>
      <c r="O322" s="265"/>
      <c r="P322" s="265"/>
      <c r="Q322" s="265"/>
    </row>
    <row r="323" spans="1:17" s="222" customFormat="1">
      <c r="A323" s="65"/>
      <c r="B323" s="20"/>
      <c r="C323" s="54"/>
      <c r="D323" s="184"/>
      <c r="E323" s="185"/>
      <c r="F323" s="185"/>
      <c r="G323" s="194"/>
      <c r="H323" s="185"/>
      <c r="I323" s="185"/>
      <c r="J323" s="185"/>
      <c r="K323" s="185"/>
      <c r="L323" s="185"/>
      <c r="M323" s="265"/>
      <c r="N323" s="265"/>
      <c r="O323" s="265"/>
      <c r="P323" s="265"/>
      <c r="Q323" s="265"/>
    </row>
    <row r="324" spans="1:17" s="222" customFormat="1">
      <c r="A324" s="65"/>
      <c r="B324" s="20"/>
      <c r="C324" s="54"/>
      <c r="D324" s="184"/>
      <c r="E324" s="185"/>
      <c r="F324" s="185"/>
      <c r="G324" s="194"/>
      <c r="H324" s="185"/>
      <c r="I324" s="185"/>
      <c r="J324" s="185"/>
      <c r="K324" s="185"/>
      <c r="L324" s="185"/>
      <c r="M324" s="265"/>
      <c r="N324" s="265"/>
      <c r="O324" s="265"/>
      <c r="P324" s="265"/>
      <c r="Q324" s="265"/>
    </row>
    <row r="325" spans="1:17" s="222" customFormat="1">
      <c r="A325" s="65"/>
      <c r="B325" s="20"/>
      <c r="C325" s="54"/>
      <c r="D325" s="184"/>
      <c r="E325" s="185"/>
      <c r="F325" s="185"/>
      <c r="G325" s="194"/>
      <c r="H325" s="185"/>
      <c r="I325" s="185"/>
      <c r="J325" s="185"/>
      <c r="K325" s="185"/>
      <c r="L325" s="185"/>
      <c r="M325" s="265"/>
      <c r="N325" s="265"/>
      <c r="O325" s="265"/>
      <c r="P325" s="265"/>
      <c r="Q325" s="265"/>
    </row>
    <row r="326" spans="1:17" s="222" customFormat="1">
      <c r="A326" s="65"/>
      <c r="B326" s="20"/>
      <c r="C326" s="54"/>
      <c r="D326" s="184"/>
      <c r="E326" s="185"/>
      <c r="F326" s="185"/>
      <c r="G326" s="194"/>
      <c r="H326" s="185"/>
      <c r="I326" s="185"/>
      <c r="J326" s="185"/>
      <c r="K326" s="185"/>
      <c r="L326" s="185"/>
      <c r="M326" s="265"/>
      <c r="N326" s="265"/>
      <c r="O326" s="265"/>
      <c r="P326" s="265"/>
      <c r="Q326" s="265"/>
    </row>
    <row r="327" spans="1:17" s="222" customFormat="1">
      <c r="A327" s="65"/>
      <c r="B327" s="20"/>
      <c r="C327" s="54"/>
      <c r="D327" s="184"/>
      <c r="E327" s="185"/>
      <c r="F327" s="185"/>
      <c r="G327" s="194"/>
      <c r="H327" s="185"/>
      <c r="I327" s="185"/>
      <c r="J327" s="185"/>
      <c r="K327" s="185"/>
      <c r="L327" s="185"/>
      <c r="M327" s="265"/>
      <c r="N327" s="265"/>
      <c r="O327" s="265"/>
      <c r="P327" s="265"/>
      <c r="Q327" s="265"/>
    </row>
    <row r="328" spans="1:17" s="222" customFormat="1">
      <c r="A328" s="65"/>
      <c r="B328" s="20"/>
      <c r="C328" s="54"/>
      <c r="D328" s="184"/>
      <c r="E328" s="185"/>
      <c r="F328" s="185"/>
      <c r="G328" s="194"/>
      <c r="H328" s="185"/>
      <c r="I328" s="185"/>
      <c r="J328" s="185"/>
      <c r="K328" s="185"/>
      <c r="L328" s="185"/>
      <c r="M328" s="265"/>
      <c r="N328" s="265"/>
      <c r="O328" s="265"/>
      <c r="P328" s="265"/>
      <c r="Q328" s="265"/>
    </row>
    <row r="329" spans="1:17" s="222" customFormat="1">
      <c r="A329" s="65"/>
      <c r="B329" s="20"/>
      <c r="C329" s="54"/>
      <c r="D329" s="184"/>
      <c r="E329" s="185"/>
      <c r="F329" s="185"/>
      <c r="G329" s="194"/>
      <c r="H329" s="185"/>
      <c r="I329" s="185"/>
      <c r="J329" s="185"/>
      <c r="K329" s="185"/>
      <c r="L329" s="185"/>
      <c r="M329" s="265"/>
      <c r="N329" s="265"/>
      <c r="O329" s="265"/>
      <c r="P329" s="265"/>
      <c r="Q329" s="265"/>
    </row>
    <row r="330" spans="1:17" s="222" customFormat="1">
      <c r="A330" s="65"/>
      <c r="B330" s="20"/>
      <c r="C330" s="54"/>
      <c r="D330" s="195"/>
      <c r="E330" s="194"/>
      <c r="F330" s="194"/>
      <c r="G330" s="194"/>
      <c r="H330" s="194"/>
      <c r="I330" s="194"/>
      <c r="J330" s="194"/>
      <c r="K330" s="194"/>
      <c r="L330" s="194"/>
      <c r="M330" s="265"/>
      <c r="N330" s="265"/>
      <c r="O330" s="265"/>
      <c r="P330" s="265"/>
      <c r="Q330" s="265"/>
    </row>
    <row r="331" spans="1:17" s="222" customFormat="1">
      <c r="A331" s="65"/>
      <c r="B331" s="20"/>
      <c r="C331" s="54"/>
      <c r="D331" s="195"/>
      <c r="E331" s="194"/>
      <c r="F331" s="194"/>
      <c r="G331" s="194"/>
      <c r="H331" s="194"/>
      <c r="I331" s="194"/>
      <c r="J331" s="194"/>
      <c r="K331" s="194"/>
      <c r="L331" s="194"/>
      <c r="M331" s="265"/>
      <c r="N331" s="265"/>
      <c r="O331" s="265"/>
      <c r="P331" s="265"/>
      <c r="Q331" s="265"/>
    </row>
    <row r="332" spans="1:17" s="222" customFormat="1">
      <c r="A332" s="65"/>
      <c r="B332" s="20"/>
      <c r="C332" s="54"/>
      <c r="D332" s="195"/>
      <c r="E332" s="194"/>
      <c r="F332" s="194"/>
      <c r="G332" s="194"/>
      <c r="H332" s="194"/>
      <c r="I332" s="194"/>
      <c r="J332" s="194"/>
      <c r="K332" s="194"/>
      <c r="L332" s="194"/>
      <c r="M332" s="265"/>
      <c r="N332" s="265"/>
      <c r="O332" s="265"/>
      <c r="P332" s="265"/>
      <c r="Q332" s="265"/>
    </row>
    <row r="333" spans="1:17" s="222" customFormat="1">
      <c r="A333" s="65"/>
      <c r="B333" s="20"/>
      <c r="C333" s="54"/>
      <c r="D333" s="195"/>
      <c r="E333" s="195"/>
      <c r="F333" s="195"/>
      <c r="G333" s="195"/>
      <c r="H333" s="195"/>
      <c r="I333" s="195"/>
      <c r="J333" s="195"/>
      <c r="K333" s="195"/>
      <c r="L333" s="195"/>
      <c r="M333" s="265"/>
      <c r="N333" s="265"/>
      <c r="O333" s="265"/>
      <c r="P333" s="265"/>
      <c r="Q333" s="265"/>
    </row>
  </sheetData>
  <autoFilter ref="A6:L332"/>
  <mergeCells count="10">
    <mergeCell ref="B1:J1"/>
    <mergeCell ref="B2:I2"/>
    <mergeCell ref="F4:G4"/>
    <mergeCell ref="H4:I4"/>
    <mergeCell ref="J4:K4"/>
    <mergeCell ref="A4:A5"/>
    <mergeCell ref="B4:B5"/>
    <mergeCell ref="C4:C5"/>
    <mergeCell ref="D4:E4"/>
    <mergeCell ref="L4:L5"/>
  </mergeCells>
  <printOptions horizontalCentered="1"/>
  <pageMargins left="0.118110236220472" right="0.118110236220472" top="0.31299212599999998" bottom="0.24803149599999999" header="0.66929133858267698" footer="0.31496062992126"/>
  <pageSetup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94209" r:id="rId4" name="Control 1">
          <controlPr defaultSize="0" r:id="rId5">
            <anchor moveWithCells="1">
              <from>
                <xdr:col>12</xdr:col>
                <xdr:colOff>57150</xdr:colOff>
                <xdr:row>249</xdr:row>
                <xdr:rowOff>133350</xdr:rowOff>
              </from>
              <to>
                <xdr:col>12</xdr:col>
                <xdr:colOff>304800</xdr:colOff>
                <xdr:row>250</xdr:row>
                <xdr:rowOff>161925</xdr:rowOff>
              </to>
            </anchor>
          </controlPr>
        </control>
      </mc:Choice>
      <mc:Fallback>
        <control shapeId="94209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9"/>
  <sheetViews>
    <sheetView view="pageBreakPreview" topLeftCell="A11" zoomScaleSheetLayoutView="100" workbookViewId="0">
      <selection activeCell="A27" sqref="A27"/>
    </sheetView>
  </sheetViews>
  <sheetFormatPr defaultColWidth="9" defaultRowHeight="15.75"/>
  <cols>
    <col min="1" max="2" width="9.140625" style="96"/>
    <col min="3" max="3" width="9.42578125" style="96" customWidth="1"/>
    <col min="4" max="4" width="9.140625" style="96"/>
    <col min="5" max="5" width="9" style="96" customWidth="1"/>
    <col min="6" max="11" width="9.140625" style="96"/>
  </cols>
  <sheetData>
    <row r="1" spans="1:14" ht="15">
      <c r="A1"/>
      <c r="B1"/>
      <c r="C1"/>
      <c r="D1"/>
      <c r="E1"/>
      <c r="F1"/>
      <c r="G1"/>
      <c r="H1"/>
      <c r="I1"/>
      <c r="J1"/>
      <c r="K1"/>
    </row>
    <row r="2" spans="1:14">
      <c r="A2" s="97"/>
      <c r="B2" s="97"/>
      <c r="C2" s="97"/>
      <c r="D2" s="97"/>
      <c r="E2" s="97"/>
      <c r="F2" s="97"/>
      <c r="G2" s="97"/>
      <c r="H2" s="97"/>
      <c r="I2" s="97"/>
    </row>
    <row r="3" spans="1:14" ht="21">
      <c r="F3" s="1068"/>
      <c r="G3" s="1068"/>
      <c r="H3" s="1068"/>
    </row>
    <row r="9" spans="1:14" ht="21">
      <c r="A9" s="1069" t="s">
        <v>427</v>
      </c>
      <c r="B9" s="1069"/>
      <c r="C9" s="1069"/>
      <c r="D9" s="1069"/>
      <c r="E9" s="1069"/>
      <c r="F9" s="1069"/>
      <c r="G9" s="1069"/>
      <c r="H9" s="1069"/>
      <c r="I9" s="1069"/>
      <c r="J9" s="1069"/>
      <c r="K9" s="1069"/>
      <c r="L9" s="1069"/>
      <c r="M9" s="1069"/>
      <c r="N9" s="1069"/>
    </row>
    <row r="11" spans="1:14" ht="21">
      <c r="A11" s="1068" t="s">
        <v>0</v>
      </c>
      <c r="B11" s="1068"/>
      <c r="C11" s="1068"/>
      <c r="D11" s="1068"/>
      <c r="E11" s="1068"/>
      <c r="F11" s="1068"/>
      <c r="G11" s="1068"/>
      <c r="H11" s="1068"/>
      <c r="I11" s="1068"/>
      <c r="J11" s="1068"/>
      <c r="K11" s="1068"/>
      <c r="L11" s="1068"/>
      <c r="M11" s="1068"/>
      <c r="N11" s="1068"/>
    </row>
    <row r="12" spans="1:14" ht="15">
      <c r="A12"/>
      <c r="B12"/>
      <c r="C12"/>
      <c r="D12"/>
      <c r="E12"/>
      <c r="F12"/>
      <c r="G12"/>
      <c r="H12"/>
      <c r="I12"/>
      <c r="J12"/>
      <c r="K12"/>
    </row>
    <row r="13" spans="1:14" ht="15">
      <c r="A13"/>
      <c r="B13"/>
      <c r="C13"/>
      <c r="D13"/>
      <c r="E13"/>
      <c r="F13"/>
      <c r="G13"/>
      <c r="H13"/>
      <c r="I13"/>
      <c r="J13"/>
      <c r="K13"/>
    </row>
    <row r="14" spans="1:14" ht="15">
      <c r="A14"/>
      <c r="B14"/>
      <c r="C14"/>
      <c r="D14"/>
      <c r="E14"/>
      <c r="F14"/>
      <c r="G14"/>
      <c r="H14"/>
      <c r="I14"/>
      <c r="J14"/>
      <c r="K14"/>
    </row>
    <row r="20" spans="1:17">
      <c r="E20" s="1071" t="s">
        <v>1</v>
      </c>
      <c r="F20" s="1071"/>
      <c r="G20" s="1071"/>
      <c r="H20" s="1071"/>
      <c r="I20" s="1071"/>
      <c r="J20" s="1071"/>
      <c r="K20" s="1072">
        <f>'კრებ-1'!H23</f>
        <v>0</v>
      </c>
      <c r="L20" s="1070"/>
      <c r="M20" s="96" t="s">
        <v>2</v>
      </c>
      <c r="N20" s="96"/>
      <c r="O20" s="96"/>
      <c r="P20" s="96"/>
      <c r="Q20" s="96"/>
    </row>
    <row r="24" spans="1:17">
      <c r="C24" s="96" t="s">
        <v>3</v>
      </c>
      <c r="J24" s="96" t="s">
        <v>4</v>
      </c>
    </row>
    <row r="28" spans="1:17">
      <c r="A28" s="1070" t="s">
        <v>175</v>
      </c>
      <c r="B28" s="1070"/>
      <c r="C28" s="1070"/>
      <c r="D28" s="1070"/>
      <c r="E28" s="1070"/>
      <c r="F28" s="1070"/>
      <c r="G28" s="1070"/>
      <c r="H28" s="1070"/>
      <c r="I28" s="1070"/>
      <c r="J28" s="1070"/>
      <c r="K28" s="1070"/>
      <c r="L28" s="1070"/>
      <c r="M28" s="1070"/>
      <c r="N28" s="1070"/>
    </row>
    <row r="29" spans="1:17" ht="15">
      <c r="A29"/>
      <c r="B29"/>
      <c r="C29"/>
      <c r="D29"/>
      <c r="E29"/>
      <c r="F29"/>
      <c r="G29"/>
      <c r="H29"/>
      <c r="I29"/>
      <c r="J29"/>
      <c r="K29"/>
    </row>
  </sheetData>
  <mergeCells count="6">
    <mergeCell ref="A28:N28"/>
    <mergeCell ref="F3:H3"/>
    <mergeCell ref="A9:N9"/>
    <mergeCell ref="A11:N11"/>
    <mergeCell ref="E20:J20"/>
    <mergeCell ref="K20:L20"/>
  </mergeCells>
  <printOptions horizontalCentered="1"/>
  <pageMargins left="0.20866141699999999" right="0.20866141699999999" top="0.24803149599999999" bottom="0.24803149599999999" header="0.31496062992126" footer="0.3149606299212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2"/>
  <sheetViews>
    <sheetView topLeftCell="A8" zoomScaleNormal="100" zoomScaleSheetLayoutView="100" workbookViewId="0">
      <selection activeCell="J13" sqref="J13"/>
    </sheetView>
  </sheetViews>
  <sheetFormatPr defaultColWidth="9" defaultRowHeight="15.75"/>
  <cols>
    <col min="1" max="7" width="9.140625" style="88"/>
    <col min="8" max="8" width="14.28515625" style="88" customWidth="1"/>
    <col min="9" max="9" width="9.140625" style="88"/>
    <col min="10" max="10" width="9.42578125" style="88" customWidth="1"/>
    <col min="11" max="11" width="9.140625" style="88"/>
    <col min="12" max="12" width="13.42578125" style="88" customWidth="1"/>
    <col min="13" max="13" width="11.7109375" style="88" customWidth="1"/>
    <col min="14" max="14" width="9.140625" style="88"/>
  </cols>
  <sheetData>
    <row r="1" spans="1:14" ht="16.5">
      <c r="A1" s="1076" t="s">
        <v>424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92"/>
    </row>
    <row r="3" spans="1:14" ht="21">
      <c r="A3" s="1077" t="s">
        <v>5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93"/>
    </row>
    <row r="4" spans="1:14" ht="2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6.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>
      <c r="A6" s="1078" t="s">
        <v>6</v>
      </c>
      <c r="B6" s="1078"/>
      <c r="C6" s="1078"/>
      <c r="D6" s="1078"/>
      <c r="E6" s="1078"/>
      <c r="F6" s="1078"/>
      <c r="G6" s="1078"/>
      <c r="H6" s="1078"/>
      <c r="I6" s="1078"/>
      <c r="J6" s="1078"/>
      <c r="K6" s="1078"/>
      <c r="L6" s="1078"/>
      <c r="M6" s="1078"/>
      <c r="N6" s="1078"/>
    </row>
    <row r="7" spans="1:14" ht="122.25" customHeight="1">
      <c r="A7" s="1073" t="s">
        <v>177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</row>
    <row r="8" spans="1:14" ht="42" customHeight="1">
      <c r="A8" s="1075" t="s">
        <v>7</v>
      </c>
      <c r="B8" s="1075"/>
      <c r="C8" s="1075"/>
      <c r="D8" s="1075"/>
      <c r="E8" s="1075"/>
      <c r="F8" s="1075"/>
      <c r="G8" s="1075"/>
      <c r="H8" s="91">
        <f>'კრებ-1'!H23</f>
        <v>0</v>
      </c>
      <c r="I8" s="1075" t="s">
        <v>8</v>
      </c>
      <c r="J8" s="1075"/>
      <c r="K8" s="1075"/>
      <c r="L8" s="91">
        <f>H8/1.18*0.18</f>
        <v>0</v>
      </c>
      <c r="M8" s="88" t="s">
        <v>9</v>
      </c>
    </row>
    <row r="9" spans="1:14" ht="55.5" customHeight="1">
      <c r="A9" s="1073" t="s">
        <v>10</v>
      </c>
      <c r="B9" s="1073"/>
      <c r="C9" s="1073"/>
      <c r="D9" s="1073"/>
      <c r="E9" s="1073"/>
      <c r="F9" s="1073"/>
      <c r="G9" s="1073"/>
      <c r="H9" s="1073"/>
      <c r="I9" s="1073"/>
      <c r="J9" s="1073"/>
      <c r="K9" s="1073"/>
      <c r="L9" s="1073"/>
      <c r="M9" s="1073"/>
      <c r="N9" s="1073"/>
    </row>
    <row r="10" spans="1:14" ht="29.25" customHeight="1">
      <c r="A10" s="1074" t="s">
        <v>11</v>
      </c>
      <c r="B10" s="1074"/>
      <c r="H10" s="1075" t="s">
        <v>12</v>
      </c>
      <c r="I10" s="1075"/>
      <c r="J10" s="1075"/>
      <c r="K10" s="1075"/>
      <c r="L10" s="1075"/>
    </row>
    <row r="11" spans="1:14">
      <c r="C11" s="94"/>
      <c r="D11" s="94"/>
      <c r="E11" s="94"/>
      <c r="F11" s="94"/>
      <c r="G11" s="94"/>
      <c r="M11" s="94"/>
      <c r="N11" s="94"/>
    </row>
    <row r="12" spans="1:14" ht="27" customHeight="1"/>
    <row r="22" spans="10:10">
      <c r="J22" s="95"/>
    </row>
  </sheetData>
  <mergeCells count="9">
    <mergeCell ref="A9:N9"/>
    <mergeCell ref="A10:B10"/>
    <mergeCell ref="H10:L10"/>
    <mergeCell ref="A1:M1"/>
    <mergeCell ref="A3:M3"/>
    <mergeCell ref="A6:N6"/>
    <mergeCell ref="A7:M7"/>
    <mergeCell ref="A8:G8"/>
    <mergeCell ref="I8:K8"/>
  </mergeCells>
  <printOptions horizontalCentered="1"/>
  <pageMargins left="0.70866141732283505" right="0.70866141732283505" top="0.74803149606299202" bottom="0.74803149606299202" header="0.31496062992126" footer="0.31496062992126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7"/>
  <sheetViews>
    <sheetView zoomScaleNormal="100" zoomScaleSheetLayoutView="100" workbookViewId="0">
      <selection activeCell="H3" sqref="H3"/>
    </sheetView>
  </sheetViews>
  <sheetFormatPr defaultColWidth="9" defaultRowHeight="13.5"/>
  <cols>
    <col min="1" max="1" width="10.42578125" style="26" customWidth="1"/>
    <col min="2" max="2" width="14.28515625" style="323" customWidth="1"/>
    <col min="3" max="3" width="42.7109375" style="27" customWidth="1"/>
    <col min="4" max="4" width="12.85546875" style="26" customWidth="1"/>
    <col min="5" max="5" width="11.7109375" style="27" customWidth="1"/>
    <col min="6" max="6" width="13.140625" style="27" customWidth="1"/>
    <col min="7" max="7" width="12" style="27" customWidth="1"/>
    <col min="8" max="8" width="12.85546875" style="26" customWidth="1"/>
    <col min="9" max="245" width="9.140625" style="28"/>
    <col min="246" max="246" width="7.7109375" style="28" customWidth="1"/>
    <col min="247" max="247" width="12.5703125" style="28" customWidth="1"/>
    <col min="248" max="248" width="41.42578125" style="28" customWidth="1"/>
    <col min="249" max="249" width="13.7109375" style="28" customWidth="1"/>
    <col min="250" max="250" width="13.5703125" style="28" customWidth="1"/>
    <col min="251" max="251" width="13" style="28" customWidth="1"/>
    <col min="252" max="252" width="12.140625" style="28" customWidth="1"/>
    <col min="253" max="253" width="12.28515625" style="28" customWidth="1"/>
    <col min="254" max="501" width="9.140625" style="28"/>
    <col min="502" max="502" width="7.7109375" style="28" customWidth="1"/>
    <col min="503" max="503" width="12.5703125" style="28" customWidth="1"/>
    <col min="504" max="504" width="41.42578125" style="28" customWidth="1"/>
    <col min="505" max="505" width="13.7109375" style="28" customWidth="1"/>
    <col min="506" max="506" width="13.5703125" style="28" customWidth="1"/>
    <col min="507" max="507" width="13" style="28" customWidth="1"/>
    <col min="508" max="508" width="12.140625" style="28" customWidth="1"/>
    <col min="509" max="509" width="12.28515625" style="28" customWidth="1"/>
    <col min="510" max="757" width="9.140625" style="28"/>
    <col min="758" max="758" width="7.7109375" style="28" customWidth="1"/>
    <col min="759" max="759" width="12.5703125" style="28" customWidth="1"/>
    <col min="760" max="760" width="41.42578125" style="28" customWidth="1"/>
    <col min="761" max="761" width="13.7109375" style="28" customWidth="1"/>
    <col min="762" max="762" width="13.5703125" style="28" customWidth="1"/>
    <col min="763" max="763" width="13" style="28" customWidth="1"/>
    <col min="764" max="764" width="12.140625" style="28" customWidth="1"/>
    <col min="765" max="765" width="12.28515625" style="28" customWidth="1"/>
    <col min="766" max="1013" width="9.140625" style="28"/>
    <col min="1014" max="1014" width="7.7109375" style="28" customWidth="1"/>
    <col min="1015" max="1015" width="12.5703125" style="28" customWidth="1"/>
    <col min="1016" max="1016" width="41.42578125" style="28" customWidth="1"/>
    <col min="1017" max="1017" width="13.7109375" style="28" customWidth="1"/>
    <col min="1018" max="1018" width="13.5703125" style="28" customWidth="1"/>
    <col min="1019" max="1019" width="13" style="28" customWidth="1"/>
    <col min="1020" max="1020" width="12.140625" style="28" customWidth="1"/>
    <col min="1021" max="1021" width="12.28515625" style="28" customWidth="1"/>
    <col min="1022" max="1269" width="9.140625" style="28"/>
    <col min="1270" max="1270" width="7.7109375" style="28" customWidth="1"/>
    <col min="1271" max="1271" width="12.5703125" style="28" customWidth="1"/>
    <col min="1272" max="1272" width="41.42578125" style="28" customWidth="1"/>
    <col min="1273" max="1273" width="13.7109375" style="28" customWidth="1"/>
    <col min="1274" max="1274" width="13.5703125" style="28" customWidth="1"/>
    <col min="1275" max="1275" width="13" style="28" customWidth="1"/>
    <col min="1276" max="1276" width="12.140625" style="28" customWidth="1"/>
    <col min="1277" max="1277" width="12.28515625" style="28" customWidth="1"/>
    <col min="1278" max="1525" width="9.140625" style="28"/>
    <col min="1526" max="1526" width="7.7109375" style="28" customWidth="1"/>
    <col min="1527" max="1527" width="12.5703125" style="28" customWidth="1"/>
    <col min="1528" max="1528" width="41.42578125" style="28" customWidth="1"/>
    <col min="1529" max="1529" width="13.7109375" style="28" customWidth="1"/>
    <col min="1530" max="1530" width="13.5703125" style="28" customWidth="1"/>
    <col min="1531" max="1531" width="13" style="28" customWidth="1"/>
    <col min="1532" max="1532" width="12.140625" style="28" customWidth="1"/>
    <col min="1533" max="1533" width="12.28515625" style="28" customWidth="1"/>
    <col min="1534" max="1781" width="9.140625" style="28"/>
    <col min="1782" max="1782" width="7.7109375" style="28" customWidth="1"/>
    <col min="1783" max="1783" width="12.5703125" style="28" customWidth="1"/>
    <col min="1784" max="1784" width="41.42578125" style="28" customWidth="1"/>
    <col min="1785" max="1785" width="13.7109375" style="28" customWidth="1"/>
    <col min="1786" max="1786" width="13.5703125" style="28" customWidth="1"/>
    <col min="1787" max="1787" width="13" style="28" customWidth="1"/>
    <col min="1788" max="1788" width="12.140625" style="28" customWidth="1"/>
    <col min="1789" max="1789" width="12.28515625" style="28" customWidth="1"/>
    <col min="1790" max="2037" width="9.140625" style="28"/>
    <col min="2038" max="2038" width="7.7109375" style="28" customWidth="1"/>
    <col min="2039" max="2039" width="12.5703125" style="28" customWidth="1"/>
    <col min="2040" max="2040" width="41.42578125" style="28" customWidth="1"/>
    <col min="2041" max="2041" width="13.7109375" style="28" customWidth="1"/>
    <col min="2042" max="2042" width="13.5703125" style="28" customWidth="1"/>
    <col min="2043" max="2043" width="13" style="28" customWidth="1"/>
    <col min="2044" max="2044" width="12.140625" style="28" customWidth="1"/>
    <col min="2045" max="2045" width="12.28515625" style="28" customWidth="1"/>
    <col min="2046" max="2293" width="9.140625" style="28"/>
    <col min="2294" max="2294" width="7.7109375" style="28" customWidth="1"/>
    <col min="2295" max="2295" width="12.5703125" style="28" customWidth="1"/>
    <col min="2296" max="2296" width="41.42578125" style="28" customWidth="1"/>
    <col min="2297" max="2297" width="13.7109375" style="28" customWidth="1"/>
    <col min="2298" max="2298" width="13.5703125" style="28" customWidth="1"/>
    <col min="2299" max="2299" width="13" style="28" customWidth="1"/>
    <col min="2300" max="2300" width="12.140625" style="28" customWidth="1"/>
    <col min="2301" max="2301" width="12.28515625" style="28" customWidth="1"/>
    <col min="2302" max="2549" width="9.140625" style="28"/>
    <col min="2550" max="2550" width="7.7109375" style="28" customWidth="1"/>
    <col min="2551" max="2551" width="12.5703125" style="28" customWidth="1"/>
    <col min="2552" max="2552" width="41.42578125" style="28" customWidth="1"/>
    <col min="2553" max="2553" width="13.7109375" style="28" customWidth="1"/>
    <col min="2554" max="2554" width="13.5703125" style="28" customWidth="1"/>
    <col min="2555" max="2555" width="13" style="28" customWidth="1"/>
    <col min="2556" max="2556" width="12.140625" style="28" customWidth="1"/>
    <col min="2557" max="2557" width="12.28515625" style="28" customWidth="1"/>
    <col min="2558" max="2805" width="9.140625" style="28"/>
    <col min="2806" max="2806" width="7.7109375" style="28" customWidth="1"/>
    <col min="2807" max="2807" width="12.5703125" style="28" customWidth="1"/>
    <col min="2808" max="2808" width="41.42578125" style="28" customWidth="1"/>
    <col min="2809" max="2809" width="13.7109375" style="28" customWidth="1"/>
    <col min="2810" max="2810" width="13.5703125" style="28" customWidth="1"/>
    <col min="2811" max="2811" width="13" style="28" customWidth="1"/>
    <col min="2812" max="2812" width="12.140625" style="28" customWidth="1"/>
    <col min="2813" max="2813" width="12.28515625" style="28" customWidth="1"/>
    <col min="2814" max="3061" width="9.140625" style="28"/>
    <col min="3062" max="3062" width="7.7109375" style="28" customWidth="1"/>
    <col min="3063" max="3063" width="12.5703125" style="28" customWidth="1"/>
    <col min="3064" max="3064" width="41.42578125" style="28" customWidth="1"/>
    <col min="3065" max="3065" width="13.7109375" style="28" customWidth="1"/>
    <col min="3066" max="3066" width="13.5703125" style="28" customWidth="1"/>
    <col min="3067" max="3067" width="13" style="28" customWidth="1"/>
    <col min="3068" max="3068" width="12.140625" style="28" customWidth="1"/>
    <col min="3069" max="3069" width="12.28515625" style="28" customWidth="1"/>
    <col min="3070" max="3317" width="9.140625" style="28"/>
    <col min="3318" max="3318" width="7.7109375" style="28" customWidth="1"/>
    <col min="3319" max="3319" width="12.5703125" style="28" customWidth="1"/>
    <col min="3320" max="3320" width="41.42578125" style="28" customWidth="1"/>
    <col min="3321" max="3321" width="13.7109375" style="28" customWidth="1"/>
    <col min="3322" max="3322" width="13.5703125" style="28" customWidth="1"/>
    <col min="3323" max="3323" width="13" style="28" customWidth="1"/>
    <col min="3324" max="3324" width="12.140625" style="28" customWidth="1"/>
    <col min="3325" max="3325" width="12.28515625" style="28" customWidth="1"/>
    <col min="3326" max="3573" width="9.140625" style="28"/>
    <col min="3574" max="3574" width="7.7109375" style="28" customWidth="1"/>
    <col min="3575" max="3575" width="12.5703125" style="28" customWidth="1"/>
    <col min="3576" max="3576" width="41.42578125" style="28" customWidth="1"/>
    <col min="3577" max="3577" width="13.7109375" style="28" customWidth="1"/>
    <col min="3578" max="3578" width="13.5703125" style="28" customWidth="1"/>
    <col min="3579" max="3579" width="13" style="28" customWidth="1"/>
    <col min="3580" max="3580" width="12.140625" style="28" customWidth="1"/>
    <col min="3581" max="3581" width="12.28515625" style="28" customWidth="1"/>
    <col min="3582" max="3829" width="9.140625" style="28"/>
    <col min="3830" max="3830" width="7.7109375" style="28" customWidth="1"/>
    <col min="3831" max="3831" width="12.5703125" style="28" customWidth="1"/>
    <col min="3832" max="3832" width="41.42578125" style="28" customWidth="1"/>
    <col min="3833" max="3833" width="13.7109375" style="28" customWidth="1"/>
    <col min="3834" max="3834" width="13.5703125" style="28" customWidth="1"/>
    <col min="3835" max="3835" width="13" style="28" customWidth="1"/>
    <col min="3836" max="3836" width="12.140625" style="28" customWidth="1"/>
    <col min="3837" max="3837" width="12.28515625" style="28" customWidth="1"/>
    <col min="3838" max="4085" width="9.140625" style="28"/>
    <col min="4086" max="4086" width="7.7109375" style="28" customWidth="1"/>
    <col min="4087" max="4087" width="12.5703125" style="28" customWidth="1"/>
    <col min="4088" max="4088" width="41.42578125" style="28" customWidth="1"/>
    <col min="4089" max="4089" width="13.7109375" style="28" customWidth="1"/>
    <col min="4090" max="4090" width="13.5703125" style="28" customWidth="1"/>
    <col min="4091" max="4091" width="13" style="28" customWidth="1"/>
    <col min="4092" max="4092" width="12.140625" style="28" customWidth="1"/>
    <col min="4093" max="4093" width="12.28515625" style="28" customWidth="1"/>
    <col min="4094" max="4341" width="9.140625" style="28"/>
    <col min="4342" max="4342" width="7.7109375" style="28" customWidth="1"/>
    <col min="4343" max="4343" width="12.5703125" style="28" customWidth="1"/>
    <col min="4344" max="4344" width="41.42578125" style="28" customWidth="1"/>
    <col min="4345" max="4345" width="13.7109375" style="28" customWidth="1"/>
    <col min="4346" max="4346" width="13.5703125" style="28" customWidth="1"/>
    <col min="4347" max="4347" width="13" style="28" customWidth="1"/>
    <col min="4348" max="4348" width="12.140625" style="28" customWidth="1"/>
    <col min="4349" max="4349" width="12.28515625" style="28" customWidth="1"/>
    <col min="4350" max="4597" width="9.140625" style="28"/>
    <col min="4598" max="4598" width="7.7109375" style="28" customWidth="1"/>
    <col min="4599" max="4599" width="12.5703125" style="28" customWidth="1"/>
    <col min="4600" max="4600" width="41.42578125" style="28" customWidth="1"/>
    <col min="4601" max="4601" width="13.7109375" style="28" customWidth="1"/>
    <col min="4602" max="4602" width="13.5703125" style="28" customWidth="1"/>
    <col min="4603" max="4603" width="13" style="28" customWidth="1"/>
    <col min="4604" max="4604" width="12.140625" style="28" customWidth="1"/>
    <col min="4605" max="4605" width="12.28515625" style="28" customWidth="1"/>
    <col min="4606" max="4853" width="9.140625" style="28"/>
    <col min="4854" max="4854" width="7.7109375" style="28" customWidth="1"/>
    <col min="4855" max="4855" width="12.5703125" style="28" customWidth="1"/>
    <col min="4856" max="4856" width="41.42578125" style="28" customWidth="1"/>
    <col min="4857" max="4857" width="13.7109375" style="28" customWidth="1"/>
    <col min="4858" max="4858" width="13.5703125" style="28" customWidth="1"/>
    <col min="4859" max="4859" width="13" style="28" customWidth="1"/>
    <col min="4860" max="4860" width="12.140625" style="28" customWidth="1"/>
    <col min="4861" max="4861" width="12.28515625" style="28" customWidth="1"/>
    <col min="4862" max="5109" width="9.140625" style="28"/>
    <col min="5110" max="5110" width="7.7109375" style="28" customWidth="1"/>
    <col min="5111" max="5111" width="12.5703125" style="28" customWidth="1"/>
    <col min="5112" max="5112" width="41.42578125" style="28" customWidth="1"/>
    <col min="5113" max="5113" width="13.7109375" style="28" customWidth="1"/>
    <col min="5114" max="5114" width="13.5703125" style="28" customWidth="1"/>
    <col min="5115" max="5115" width="13" style="28" customWidth="1"/>
    <col min="5116" max="5116" width="12.140625" style="28" customWidth="1"/>
    <col min="5117" max="5117" width="12.28515625" style="28" customWidth="1"/>
    <col min="5118" max="5365" width="9.140625" style="28"/>
    <col min="5366" max="5366" width="7.7109375" style="28" customWidth="1"/>
    <col min="5367" max="5367" width="12.5703125" style="28" customWidth="1"/>
    <col min="5368" max="5368" width="41.42578125" style="28" customWidth="1"/>
    <col min="5369" max="5369" width="13.7109375" style="28" customWidth="1"/>
    <col min="5370" max="5370" width="13.5703125" style="28" customWidth="1"/>
    <col min="5371" max="5371" width="13" style="28" customWidth="1"/>
    <col min="5372" max="5372" width="12.140625" style="28" customWidth="1"/>
    <col min="5373" max="5373" width="12.28515625" style="28" customWidth="1"/>
    <col min="5374" max="5621" width="9.140625" style="28"/>
    <col min="5622" max="5622" width="7.7109375" style="28" customWidth="1"/>
    <col min="5623" max="5623" width="12.5703125" style="28" customWidth="1"/>
    <col min="5624" max="5624" width="41.42578125" style="28" customWidth="1"/>
    <col min="5625" max="5625" width="13.7109375" style="28" customWidth="1"/>
    <col min="5626" max="5626" width="13.5703125" style="28" customWidth="1"/>
    <col min="5627" max="5627" width="13" style="28" customWidth="1"/>
    <col min="5628" max="5628" width="12.140625" style="28" customWidth="1"/>
    <col min="5629" max="5629" width="12.28515625" style="28" customWidth="1"/>
    <col min="5630" max="5877" width="9.140625" style="28"/>
    <col min="5878" max="5878" width="7.7109375" style="28" customWidth="1"/>
    <col min="5879" max="5879" width="12.5703125" style="28" customWidth="1"/>
    <col min="5880" max="5880" width="41.42578125" style="28" customWidth="1"/>
    <col min="5881" max="5881" width="13.7109375" style="28" customWidth="1"/>
    <col min="5882" max="5882" width="13.5703125" style="28" customWidth="1"/>
    <col min="5883" max="5883" width="13" style="28" customWidth="1"/>
    <col min="5884" max="5884" width="12.140625" style="28" customWidth="1"/>
    <col min="5885" max="5885" width="12.28515625" style="28" customWidth="1"/>
    <col min="5886" max="6133" width="9.140625" style="28"/>
    <col min="6134" max="6134" width="7.7109375" style="28" customWidth="1"/>
    <col min="6135" max="6135" width="12.5703125" style="28" customWidth="1"/>
    <col min="6136" max="6136" width="41.42578125" style="28" customWidth="1"/>
    <col min="6137" max="6137" width="13.7109375" style="28" customWidth="1"/>
    <col min="6138" max="6138" width="13.5703125" style="28" customWidth="1"/>
    <col min="6139" max="6139" width="13" style="28" customWidth="1"/>
    <col min="6140" max="6140" width="12.140625" style="28" customWidth="1"/>
    <col min="6141" max="6141" width="12.28515625" style="28" customWidth="1"/>
    <col min="6142" max="6389" width="9.140625" style="28"/>
    <col min="6390" max="6390" width="7.7109375" style="28" customWidth="1"/>
    <col min="6391" max="6391" width="12.5703125" style="28" customWidth="1"/>
    <col min="6392" max="6392" width="41.42578125" style="28" customWidth="1"/>
    <col min="6393" max="6393" width="13.7109375" style="28" customWidth="1"/>
    <col min="6394" max="6394" width="13.5703125" style="28" customWidth="1"/>
    <col min="6395" max="6395" width="13" style="28" customWidth="1"/>
    <col min="6396" max="6396" width="12.140625" style="28" customWidth="1"/>
    <col min="6397" max="6397" width="12.28515625" style="28" customWidth="1"/>
    <col min="6398" max="6645" width="9.140625" style="28"/>
    <col min="6646" max="6646" width="7.7109375" style="28" customWidth="1"/>
    <col min="6647" max="6647" width="12.5703125" style="28" customWidth="1"/>
    <col min="6648" max="6648" width="41.42578125" style="28" customWidth="1"/>
    <col min="6649" max="6649" width="13.7109375" style="28" customWidth="1"/>
    <col min="6650" max="6650" width="13.5703125" style="28" customWidth="1"/>
    <col min="6651" max="6651" width="13" style="28" customWidth="1"/>
    <col min="6652" max="6652" width="12.140625" style="28" customWidth="1"/>
    <col min="6653" max="6653" width="12.28515625" style="28" customWidth="1"/>
    <col min="6654" max="6901" width="9.140625" style="28"/>
    <col min="6902" max="6902" width="7.7109375" style="28" customWidth="1"/>
    <col min="6903" max="6903" width="12.5703125" style="28" customWidth="1"/>
    <col min="6904" max="6904" width="41.42578125" style="28" customWidth="1"/>
    <col min="6905" max="6905" width="13.7109375" style="28" customWidth="1"/>
    <col min="6906" max="6906" width="13.5703125" style="28" customWidth="1"/>
    <col min="6907" max="6907" width="13" style="28" customWidth="1"/>
    <col min="6908" max="6908" width="12.140625" style="28" customWidth="1"/>
    <col min="6909" max="6909" width="12.28515625" style="28" customWidth="1"/>
    <col min="6910" max="7157" width="9.140625" style="28"/>
    <col min="7158" max="7158" width="7.7109375" style="28" customWidth="1"/>
    <col min="7159" max="7159" width="12.5703125" style="28" customWidth="1"/>
    <col min="7160" max="7160" width="41.42578125" style="28" customWidth="1"/>
    <col min="7161" max="7161" width="13.7109375" style="28" customWidth="1"/>
    <col min="7162" max="7162" width="13.5703125" style="28" customWidth="1"/>
    <col min="7163" max="7163" width="13" style="28" customWidth="1"/>
    <col min="7164" max="7164" width="12.140625" style="28" customWidth="1"/>
    <col min="7165" max="7165" width="12.28515625" style="28" customWidth="1"/>
    <col min="7166" max="7413" width="9.140625" style="28"/>
    <col min="7414" max="7414" width="7.7109375" style="28" customWidth="1"/>
    <col min="7415" max="7415" width="12.5703125" style="28" customWidth="1"/>
    <col min="7416" max="7416" width="41.42578125" style="28" customWidth="1"/>
    <col min="7417" max="7417" width="13.7109375" style="28" customWidth="1"/>
    <col min="7418" max="7418" width="13.5703125" style="28" customWidth="1"/>
    <col min="7419" max="7419" width="13" style="28" customWidth="1"/>
    <col min="7420" max="7420" width="12.140625" style="28" customWidth="1"/>
    <col min="7421" max="7421" width="12.28515625" style="28" customWidth="1"/>
    <col min="7422" max="7669" width="9.140625" style="28"/>
    <col min="7670" max="7670" width="7.7109375" style="28" customWidth="1"/>
    <col min="7671" max="7671" width="12.5703125" style="28" customWidth="1"/>
    <col min="7672" max="7672" width="41.42578125" style="28" customWidth="1"/>
    <col min="7673" max="7673" width="13.7109375" style="28" customWidth="1"/>
    <col min="7674" max="7674" width="13.5703125" style="28" customWidth="1"/>
    <col min="7675" max="7675" width="13" style="28" customWidth="1"/>
    <col min="7676" max="7676" width="12.140625" style="28" customWidth="1"/>
    <col min="7677" max="7677" width="12.28515625" style="28" customWidth="1"/>
    <col min="7678" max="7925" width="9.140625" style="28"/>
    <col min="7926" max="7926" width="7.7109375" style="28" customWidth="1"/>
    <col min="7927" max="7927" width="12.5703125" style="28" customWidth="1"/>
    <col min="7928" max="7928" width="41.42578125" style="28" customWidth="1"/>
    <col min="7929" max="7929" width="13.7109375" style="28" customWidth="1"/>
    <col min="7930" max="7930" width="13.5703125" style="28" customWidth="1"/>
    <col min="7931" max="7931" width="13" style="28" customWidth="1"/>
    <col min="7932" max="7932" width="12.140625" style="28" customWidth="1"/>
    <col min="7933" max="7933" width="12.28515625" style="28" customWidth="1"/>
    <col min="7934" max="8181" width="9.140625" style="28"/>
    <col min="8182" max="8182" width="7.7109375" style="28" customWidth="1"/>
    <col min="8183" max="8183" width="12.5703125" style="28" customWidth="1"/>
    <col min="8184" max="8184" width="41.42578125" style="28" customWidth="1"/>
    <col min="8185" max="8185" width="13.7109375" style="28" customWidth="1"/>
    <col min="8186" max="8186" width="13.5703125" style="28" customWidth="1"/>
    <col min="8187" max="8187" width="13" style="28" customWidth="1"/>
    <col min="8188" max="8188" width="12.140625" style="28" customWidth="1"/>
    <col min="8189" max="8189" width="12.28515625" style="28" customWidth="1"/>
    <col min="8190" max="8437" width="9.140625" style="28"/>
    <col min="8438" max="8438" width="7.7109375" style="28" customWidth="1"/>
    <col min="8439" max="8439" width="12.5703125" style="28" customWidth="1"/>
    <col min="8440" max="8440" width="41.42578125" style="28" customWidth="1"/>
    <col min="8441" max="8441" width="13.7109375" style="28" customWidth="1"/>
    <col min="8442" max="8442" width="13.5703125" style="28" customWidth="1"/>
    <col min="8443" max="8443" width="13" style="28" customWidth="1"/>
    <col min="8444" max="8444" width="12.140625" style="28" customWidth="1"/>
    <col min="8445" max="8445" width="12.28515625" style="28" customWidth="1"/>
    <col min="8446" max="8693" width="9.140625" style="28"/>
    <col min="8694" max="8694" width="7.7109375" style="28" customWidth="1"/>
    <col min="8695" max="8695" width="12.5703125" style="28" customWidth="1"/>
    <col min="8696" max="8696" width="41.42578125" style="28" customWidth="1"/>
    <col min="8697" max="8697" width="13.7109375" style="28" customWidth="1"/>
    <col min="8698" max="8698" width="13.5703125" style="28" customWidth="1"/>
    <col min="8699" max="8699" width="13" style="28" customWidth="1"/>
    <col min="8700" max="8700" width="12.140625" style="28" customWidth="1"/>
    <col min="8701" max="8701" width="12.28515625" style="28" customWidth="1"/>
    <col min="8702" max="8949" width="9.140625" style="28"/>
    <col min="8950" max="8950" width="7.7109375" style="28" customWidth="1"/>
    <col min="8951" max="8951" width="12.5703125" style="28" customWidth="1"/>
    <col min="8952" max="8952" width="41.42578125" style="28" customWidth="1"/>
    <col min="8953" max="8953" width="13.7109375" style="28" customWidth="1"/>
    <col min="8954" max="8954" width="13.5703125" style="28" customWidth="1"/>
    <col min="8955" max="8955" width="13" style="28" customWidth="1"/>
    <col min="8956" max="8956" width="12.140625" style="28" customWidth="1"/>
    <col min="8957" max="8957" width="12.28515625" style="28" customWidth="1"/>
    <col min="8958" max="9205" width="9.140625" style="28"/>
    <col min="9206" max="9206" width="7.7109375" style="28" customWidth="1"/>
    <col min="9207" max="9207" width="12.5703125" style="28" customWidth="1"/>
    <col min="9208" max="9208" width="41.42578125" style="28" customWidth="1"/>
    <col min="9209" max="9209" width="13.7109375" style="28" customWidth="1"/>
    <col min="9210" max="9210" width="13.5703125" style="28" customWidth="1"/>
    <col min="9211" max="9211" width="13" style="28" customWidth="1"/>
    <col min="9212" max="9212" width="12.140625" style="28" customWidth="1"/>
    <col min="9213" max="9213" width="12.28515625" style="28" customWidth="1"/>
    <col min="9214" max="9461" width="9.140625" style="28"/>
    <col min="9462" max="9462" width="7.7109375" style="28" customWidth="1"/>
    <col min="9463" max="9463" width="12.5703125" style="28" customWidth="1"/>
    <col min="9464" max="9464" width="41.42578125" style="28" customWidth="1"/>
    <col min="9465" max="9465" width="13.7109375" style="28" customWidth="1"/>
    <col min="9466" max="9466" width="13.5703125" style="28" customWidth="1"/>
    <col min="9467" max="9467" width="13" style="28" customWidth="1"/>
    <col min="9468" max="9468" width="12.140625" style="28" customWidth="1"/>
    <col min="9469" max="9469" width="12.28515625" style="28" customWidth="1"/>
    <col min="9470" max="9717" width="9.140625" style="28"/>
    <col min="9718" max="9718" width="7.7109375" style="28" customWidth="1"/>
    <col min="9719" max="9719" width="12.5703125" style="28" customWidth="1"/>
    <col min="9720" max="9720" width="41.42578125" style="28" customWidth="1"/>
    <col min="9721" max="9721" width="13.7109375" style="28" customWidth="1"/>
    <col min="9722" max="9722" width="13.5703125" style="28" customWidth="1"/>
    <col min="9723" max="9723" width="13" style="28" customWidth="1"/>
    <col min="9724" max="9724" width="12.140625" style="28" customWidth="1"/>
    <col min="9725" max="9725" width="12.28515625" style="28" customWidth="1"/>
    <col min="9726" max="9973" width="9.140625" style="28"/>
    <col min="9974" max="9974" width="7.7109375" style="28" customWidth="1"/>
    <col min="9975" max="9975" width="12.5703125" style="28" customWidth="1"/>
    <col min="9976" max="9976" width="41.42578125" style="28" customWidth="1"/>
    <col min="9977" max="9977" width="13.7109375" style="28" customWidth="1"/>
    <col min="9978" max="9978" width="13.5703125" style="28" customWidth="1"/>
    <col min="9979" max="9979" width="13" style="28" customWidth="1"/>
    <col min="9980" max="9980" width="12.140625" style="28" customWidth="1"/>
    <col min="9981" max="9981" width="12.28515625" style="28" customWidth="1"/>
    <col min="9982" max="10229" width="9.140625" style="28"/>
    <col min="10230" max="10230" width="7.7109375" style="28" customWidth="1"/>
    <col min="10231" max="10231" width="12.5703125" style="28" customWidth="1"/>
    <col min="10232" max="10232" width="41.42578125" style="28" customWidth="1"/>
    <col min="10233" max="10233" width="13.7109375" style="28" customWidth="1"/>
    <col min="10234" max="10234" width="13.5703125" style="28" customWidth="1"/>
    <col min="10235" max="10235" width="13" style="28" customWidth="1"/>
    <col min="10236" max="10236" width="12.140625" style="28" customWidth="1"/>
    <col min="10237" max="10237" width="12.28515625" style="28" customWidth="1"/>
    <col min="10238" max="10485" width="9.140625" style="28"/>
    <col min="10486" max="10486" width="7.7109375" style="28" customWidth="1"/>
    <col min="10487" max="10487" width="12.5703125" style="28" customWidth="1"/>
    <col min="10488" max="10488" width="41.42578125" style="28" customWidth="1"/>
    <col min="10489" max="10489" width="13.7109375" style="28" customWidth="1"/>
    <col min="10490" max="10490" width="13.5703125" style="28" customWidth="1"/>
    <col min="10491" max="10491" width="13" style="28" customWidth="1"/>
    <col min="10492" max="10492" width="12.140625" style="28" customWidth="1"/>
    <col min="10493" max="10493" width="12.28515625" style="28" customWidth="1"/>
    <col min="10494" max="10741" width="9.140625" style="28"/>
    <col min="10742" max="10742" width="7.7109375" style="28" customWidth="1"/>
    <col min="10743" max="10743" width="12.5703125" style="28" customWidth="1"/>
    <col min="10744" max="10744" width="41.42578125" style="28" customWidth="1"/>
    <col min="10745" max="10745" width="13.7109375" style="28" customWidth="1"/>
    <col min="10746" max="10746" width="13.5703125" style="28" customWidth="1"/>
    <col min="10747" max="10747" width="13" style="28" customWidth="1"/>
    <col min="10748" max="10748" width="12.140625" style="28" customWidth="1"/>
    <col min="10749" max="10749" width="12.28515625" style="28" customWidth="1"/>
    <col min="10750" max="10997" width="9.140625" style="28"/>
    <col min="10998" max="10998" width="7.7109375" style="28" customWidth="1"/>
    <col min="10999" max="10999" width="12.5703125" style="28" customWidth="1"/>
    <col min="11000" max="11000" width="41.42578125" style="28" customWidth="1"/>
    <col min="11001" max="11001" width="13.7109375" style="28" customWidth="1"/>
    <col min="11002" max="11002" width="13.5703125" style="28" customWidth="1"/>
    <col min="11003" max="11003" width="13" style="28" customWidth="1"/>
    <col min="11004" max="11004" width="12.140625" style="28" customWidth="1"/>
    <col min="11005" max="11005" width="12.28515625" style="28" customWidth="1"/>
    <col min="11006" max="11253" width="9.140625" style="28"/>
    <col min="11254" max="11254" width="7.7109375" style="28" customWidth="1"/>
    <col min="11255" max="11255" width="12.5703125" style="28" customWidth="1"/>
    <col min="11256" max="11256" width="41.42578125" style="28" customWidth="1"/>
    <col min="11257" max="11257" width="13.7109375" style="28" customWidth="1"/>
    <col min="11258" max="11258" width="13.5703125" style="28" customWidth="1"/>
    <col min="11259" max="11259" width="13" style="28" customWidth="1"/>
    <col min="11260" max="11260" width="12.140625" style="28" customWidth="1"/>
    <col min="11261" max="11261" width="12.28515625" style="28" customWidth="1"/>
    <col min="11262" max="11509" width="9.140625" style="28"/>
    <col min="11510" max="11510" width="7.7109375" style="28" customWidth="1"/>
    <col min="11511" max="11511" width="12.5703125" style="28" customWidth="1"/>
    <col min="11512" max="11512" width="41.42578125" style="28" customWidth="1"/>
    <col min="11513" max="11513" width="13.7109375" style="28" customWidth="1"/>
    <col min="11514" max="11514" width="13.5703125" style="28" customWidth="1"/>
    <col min="11515" max="11515" width="13" style="28" customWidth="1"/>
    <col min="11516" max="11516" width="12.140625" style="28" customWidth="1"/>
    <col min="11517" max="11517" width="12.28515625" style="28" customWidth="1"/>
    <col min="11518" max="11765" width="9.140625" style="28"/>
    <col min="11766" max="11766" width="7.7109375" style="28" customWidth="1"/>
    <col min="11767" max="11767" width="12.5703125" style="28" customWidth="1"/>
    <col min="11768" max="11768" width="41.42578125" style="28" customWidth="1"/>
    <col min="11769" max="11769" width="13.7109375" style="28" customWidth="1"/>
    <col min="11770" max="11770" width="13.5703125" style="28" customWidth="1"/>
    <col min="11771" max="11771" width="13" style="28" customWidth="1"/>
    <col min="11772" max="11772" width="12.140625" style="28" customWidth="1"/>
    <col min="11773" max="11773" width="12.28515625" style="28" customWidth="1"/>
    <col min="11774" max="12021" width="9.140625" style="28"/>
    <col min="12022" max="12022" width="7.7109375" style="28" customWidth="1"/>
    <col min="12023" max="12023" width="12.5703125" style="28" customWidth="1"/>
    <col min="12024" max="12024" width="41.42578125" style="28" customWidth="1"/>
    <col min="12025" max="12025" width="13.7109375" style="28" customWidth="1"/>
    <col min="12026" max="12026" width="13.5703125" style="28" customWidth="1"/>
    <col min="12027" max="12027" width="13" style="28" customWidth="1"/>
    <col min="12028" max="12028" width="12.140625" style="28" customWidth="1"/>
    <col min="12029" max="12029" width="12.28515625" style="28" customWidth="1"/>
    <col min="12030" max="12277" width="9.140625" style="28"/>
    <col min="12278" max="12278" width="7.7109375" style="28" customWidth="1"/>
    <col min="12279" max="12279" width="12.5703125" style="28" customWidth="1"/>
    <col min="12280" max="12280" width="41.42578125" style="28" customWidth="1"/>
    <col min="12281" max="12281" width="13.7109375" style="28" customWidth="1"/>
    <col min="12282" max="12282" width="13.5703125" style="28" customWidth="1"/>
    <col min="12283" max="12283" width="13" style="28" customWidth="1"/>
    <col min="12284" max="12284" width="12.140625" style="28" customWidth="1"/>
    <col min="12285" max="12285" width="12.28515625" style="28" customWidth="1"/>
    <col min="12286" max="12533" width="9.140625" style="28"/>
    <col min="12534" max="12534" width="7.7109375" style="28" customWidth="1"/>
    <col min="12535" max="12535" width="12.5703125" style="28" customWidth="1"/>
    <col min="12536" max="12536" width="41.42578125" style="28" customWidth="1"/>
    <col min="12537" max="12537" width="13.7109375" style="28" customWidth="1"/>
    <col min="12538" max="12538" width="13.5703125" style="28" customWidth="1"/>
    <col min="12539" max="12539" width="13" style="28" customWidth="1"/>
    <col min="12540" max="12540" width="12.140625" style="28" customWidth="1"/>
    <col min="12541" max="12541" width="12.28515625" style="28" customWidth="1"/>
    <col min="12542" max="12789" width="9.140625" style="28"/>
    <col min="12790" max="12790" width="7.7109375" style="28" customWidth="1"/>
    <col min="12791" max="12791" width="12.5703125" style="28" customWidth="1"/>
    <col min="12792" max="12792" width="41.42578125" style="28" customWidth="1"/>
    <col min="12793" max="12793" width="13.7109375" style="28" customWidth="1"/>
    <col min="12794" max="12794" width="13.5703125" style="28" customWidth="1"/>
    <col min="12795" max="12795" width="13" style="28" customWidth="1"/>
    <col min="12796" max="12796" width="12.140625" style="28" customWidth="1"/>
    <col min="12797" max="12797" width="12.28515625" style="28" customWidth="1"/>
    <col min="12798" max="13045" width="9.140625" style="28"/>
    <col min="13046" max="13046" width="7.7109375" style="28" customWidth="1"/>
    <col min="13047" max="13047" width="12.5703125" style="28" customWidth="1"/>
    <col min="13048" max="13048" width="41.42578125" style="28" customWidth="1"/>
    <col min="13049" max="13049" width="13.7109375" style="28" customWidth="1"/>
    <col min="13050" max="13050" width="13.5703125" style="28" customWidth="1"/>
    <col min="13051" max="13051" width="13" style="28" customWidth="1"/>
    <col min="13052" max="13052" width="12.140625" style="28" customWidth="1"/>
    <col min="13053" max="13053" width="12.28515625" style="28" customWidth="1"/>
    <col min="13054" max="13301" width="9.140625" style="28"/>
    <col min="13302" max="13302" width="7.7109375" style="28" customWidth="1"/>
    <col min="13303" max="13303" width="12.5703125" style="28" customWidth="1"/>
    <col min="13304" max="13304" width="41.42578125" style="28" customWidth="1"/>
    <col min="13305" max="13305" width="13.7109375" style="28" customWidth="1"/>
    <col min="13306" max="13306" width="13.5703125" style="28" customWidth="1"/>
    <col min="13307" max="13307" width="13" style="28" customWidth="1"/>
    <col min="13308" max="13308" width="12.140625" style="28" customWidth="1"/>
    <col min="13309" max="13309" width="12.28515625" style="28" customWidth="1"/>
    <col min="13310" max="13557" width="9.140625" style="28"/>
    <col min="13558" max="13558" width="7.7109375" style="28" customWidth="1"/>
    <col min="13559" max="13559" width="12.5703125" style="28" customWidth="1"/>
    <col min="13560" max="13560" width="41.42578125" style="28" customWidth="1"/>
    <col min="13561" max="13561" width="13.7109375" style="28" customWidth="1"/>
    <col min="13562" max="13562" width="13.5703125" style="28" customWidth="1"/>
    <col min="13563" max="13563" width="13" style="28" customWidth="1"/>
    <col min="13564" max="13564" width="12.140625" style="28" customWidth="1"/>
    <col min="13565" max="13565" width="12.28515625" style="28" customWidth="1"/>
    <col min="13566" max="13813" width="9.140625" style="28"/>
    <col min="13814" max="13814" width="7.7109375" style="28" customWidth="1"/>
    <col min="13815" max="13815" width="12.5703125" style="28" customWidth="1"/>
    <col min="13816" max="13816" width="41.42578125" style="28" customWidth="1"/>
    <col min="13817" max="13817" width="13.7109375" style="28" customWidth="1"/>
    <col min="13818" max="13818" width="13.5703125" style="28" customWidth="1"/>
    <col min="13819" max="13819" width="13" style="28" customWidth="1"/>
    <col min="13820" max="13820" width="12.140625" style="28" customWidth="1"/>
    <col min="13821" max="13821" width="12.28515625" style="28" customWidth="1"/>
    <col min="13822" max="14069" width="9.140625" style="28"/>
    <col min="14070" max="14070" width="7.7109375" style="28" customWidth="1"/>
    <col min="14071" max="14071" width="12.5703125" style="28" customWidth="1"/>
    <col min="14072" max="14072" width="41.42578125" style="28" customWidth="1"/>
    <col min="14073" max="14073" width="13.7109375" style="28" customWidth="1"/>
    <col min="14074" max="14074" width="13.5703125" style="28" customWidth="1"/>
    <col min="14075" max="14075" width="13" style="28" customWidth="1"/>
    <col min="14076" max="14076" width="12.140625" style="28" customWidth="1"/>
    <col min="14077" max="14077" width="12.28515625" style="28" customWidth="1"/>
    <col min="14078" max="14325" width="9.140625" style="28"/>
    <col min="14326" max="14326" width="7.7109375" style="28" customWidth="1"/>
    <col min="14327" max="14327" width="12.5703125" style="28" customWidth="1"/>
    <col min="14328" max="14328" width="41.42578125" style="28" customWidth="1"/>
    <col min="14329" max="14329" width="13.7109375" style="28" customWidth="1"/>
    <col min="14330" max="14330" width="13.5703125" style="28" customWidth="1"/>
    <col min="14331" max="14331" width="13" style="28" customWidth="1"/>
    <col min="14332" max="14332" width="12.140625" style="28" customWidth="1"/>
    <col min="14333" max="14333" width="12.28515625" style="28" customWidth="1"/>
    <col min="14334" max="14581" width="9.140625" style="28"/>
    <col min="14582" max="14582" width="7.7109375" style="28" customWidth="1"/>
    <col min="14583" max="14583" width="12.5703125" style="28" customWidth="1"/>
    <col min="14584" max="14584" width="41.42578125" style="28" customWidth="1"/>
    <col min="14585" max="14585" width="13.7109375" style="28" customWidth="1"/>
    <col min="14586" max="14586" width="13.5703125" style="28" customWidth="1"/>
    <col min="14587" max="14587" width="13" style="28" customWidth="1"/>
    <col min="14588" max="14588" width="12.140625" style="28" customWidth="1"/>
    <col min="14589" max="14589" width="12.28515625" style="28" customWidth="1"/>
    <col min="14590" max="14837" width="9.140625" style="28"/>
    <col min="14838" max="14838" width="7.7109375" style="28" customWidth="1"/>
    <col min="14839" max="14839" width="12.5703125" style="28" customWidth="1"/>
    <col min="14840" max="14840" width="41.42578125" style="28" customWidth="1"/>
    <col min="14841" max="14841" width="13.7109375" style="28" customWidth="1"/>
    <col min="14842" max="14842" width="13.5703125" style="28" customWidth="1"/>
    <col min="14843" max="14843" width="13" style="28" customWidth="1"/>
    <col min="14844" max="14844" width="12.140625" style="28" customWidth="1"/>
    <col min="14845" max="14845" width="12.28515625" style="28" customWidth="1"/>
    <col min="14846" max="15093" width="9.140625" style="28"/>
    <col min="15094" max="15094" width="7.7109375" style="28" customWidth="1"/>
    <col min="15095" max="15095" width="12.5703125" style="28" customWidth="1"/>
    <col min="15096" max="15096" width="41.42578125" style="28" customWidth="1"/>
    <col min="15097" max="15097" width="13.7109375" style="28" customWidth="1"/>
    <col min="15098" max="15098" width="13.5703125" style="28" customWidth="1"/>
    <col min="15099" max="15099" width="13" style="28" customWidth="1"/>
    <col min="15100" max="15100" width="12.140625" style="28" customWidth="1"/>
    <col min="15101" max="15101" width="12.28515625" style="28" customWidth="1"/>
    <col min="15102" max="15349" width="9.140625" style="28"/>
    <col min="15350" max="15350" width="7.7109375" style="28" customWidth="1"/>
    <col min="15351" max="15351" width="12.5703125" style="28" customWidth="1"/>
    <col min="15352" max="15352" width="41.42578125" style="28" customWidth="1"/>
    <col min="15353" max="15353" width="13.7109375" style="28" customWidth="1"/>
    <col min="15354" max="15354" width="13.5703125" style="28" customWidth="1"/>
    <col min="15355" max="15355" width="13" style="28" customWidth="1"/>
    <col min="15356" max="15356" width="12.140625" style="28" customWidth="1"/>
    <col min="15357" max="15357" width="12.28515625" style="28" customWidth="1"/>
    <col min="15358" max="15605" width="9.140625" style="28"/>
    <col min="15606" max="15606" width="7.7109375" style="28" customWidth="1"/>
    <col min="15607" max="15607" width="12.5703125" style="28" customWidth="1"/>
    <col min="15608" max="15608" width="41.42578125" style="28" customWidth="1"/>
    <col min="15609" max="15609" width="13.7109375" style="28" customWidth="1"/>
    <col min="15610" max="15610" width="13.5703125" style="28" customWidth="1"/>
    <col min="15611" max="15611" width="13" style="28" customWidth="1"/>
    <col min="15612" max="15612" width="12.140625" style="28" customWidth="1"/>
    <col min="15613" max="15613" width="12.28515625" style="28" customWidth="1"/>
    <col min="15614" max="15861" width="9.140625" style="28"/>
    <col min="15862" max="15862" width="7.7109375" style="28" customWidth="1"/>
    <col min="15863" max="15863" width="12.5703125" style="28" customWidth="1"/>
    <col min="15864" max="15864" width="41.42578125" style="28" customWidth="1"/>
    <col min="15865" max="15865" width="13.7109375" style="28" customWidth="1"/>
    <col min="15866" max="15866" width="13.5703125" style="28" customWidth="1"/>
    <col min="15867" max="15867" width="13" style="28" customWidth="1"/>
    <col min="15868" max="15868" width="12.140625" style="28" customWidth="1"/>
    <col min="15869" max="15869" width="12.28515625" style="28" customWidth="1"/>
    <col min="15870" max="16117" width="9.140625" style="28"/>
    <col min="16118" max="16118" width="7.7109375" style="28" customWidth="1"/>
    <col min="16119" max="16119" width="12.5703125" style="28" customWidth="1"/>
    <col min="16120" max="16120" width="41.42578125" style="28" customWidth="1"/>
    <col min="16121" max="16121" width="13.7109375" style="28" customWidth="1"/>
    <col min="16122" max="16122" width="13.5703125" style="28" customWidth="1"/>
    <col min="16123" max="16123" width="13" style="28" customWidth="1"/>
    <col min="16124" max="16124" width="12.140625" style="28" customWidth="1"/>
    <col min="16125" max="16125" width="12.28515625" style="28" customWidth="1"/>
    <col min="16126" max="16384" width="9.140625" style="28"/>
  </cols>
  <sheetData>
    <row r="1" spans="1:13" ht="16.5">
      <c r="A1" s="1079" t="s">
        <v>176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</row>
    <row r="2" spans="1:13" s="24" customFormat="1" ht="16.5" customHeight="1">
      <c r="A2" s="1080" t="s">
        <v>376</v>
      </c>
      <c r="B2" s="1080"/>
      <c r="C2" s="1080"/>
      <c r="D2" s="1080"/>
      <c r="E2" s="29"/>
      <c r="F2" s="29"/>
      <c r="G2" s="29"/>
      <c r="H2" s="29"/>
    </row>
    <row r="3" spans="1:13" s="24" customFormat="1" ht="16.5" customHeight="1">
      <c r="A3" s="885"/>
      <c r="B3" s="885"/>
      <c r="C3" s="885"/>
      <c r="D3" s="885"/>
      <c r="E3" s="29"/>
      <c r="F3" s="29"/>
      <c r="G3" s="29"/>
      <c r="H3" s="29"/>
    </row>
    <row r="4" spans="1:13" ht="16.5">
      <c r="A4" s="1081" t="s">
        <v>437</v>
      </c>
      <c r="B4" s="1081"/>
      <c r="C4" s="1081"/>
      <c r="D4" s="1081"/>
      <c r="E4" s="1081"/>
      <c r="F4" s="1081"/>
      <c r="G4" s="1081"/>
      <c r="H4" s="1081"/>
    </row>
    <row r="5" spans="1:13">
      <c r="C5" s="26"/>
      <c r="E5" s="26"/>
      <c r="F5" s="26"/>
      <c r="G5" s="26"/>
    </row>
    <row r="6" spans="1:13">
      <c r="D6" s="1082" t="s">
        <v>25</v>
      </c>
      <c r="E6" s="1082"/>
      <c r="F6" s="1082"/>
      <c r="G6" s="30">
        <f>H23</f>
        <v>0</v>
      </c>
      <c r="H6" s="31" t="s">
        <v>2</v>
      </c>
    </row>
    <row r="7" spans="1:13">
      <c r="D7" s="32"/>
      <c r="E7" s="32"/>
      <c r="F7" s="32"/>
      <c r="G7" s="33"/>
      <c r="H7" s="34"/>
    </row>
    <row r="8" spans="1:13" ht="26.25" customHeight="1">
      <c r="A8" s="1084" t="s">
        <v>26</v>
      </c>
      <c r="B8" s="1085" t="s">
        <v>14</v>
      </c>
      <c r="C8" s="1086" t="s">
        <v>27</v>
      </c>
      <c r="D8" s="1083" t="s">
        <v>15</v>
      </c>
      <c r="E8" s="1083"/>
      <c r="F8" s="1083"/>
      <c r="G8" s="1083"/>
      <c r="H8" s="1083"/>
    </row>
    <row r="9" spans="1:13" ht="54">
      <c r="A9" s="1084"/>
      <c r="B9" s="1085"/>
      <c r="C9" s="1086"/>
      <c r="D9" s="8" t="s">
        <v>17</v>
      </c>
      <c r="E9" s="8" t="s">
        <v>28</v>
      </c>
      <c r="F9" s="8" t="s">
        <v>19</v>
      </c>
      <c r="G9" s="8" t="s">
        <v>20</v>
      </c>
      <c r="H9" s="8" t="s">
        <v>16</v>
      </c>
    </row>
    <row r="10" spans="1:13">
      <c r="A10" s="35">
        <v>1</v>
      </c>
      <c r="B10" s="324">
        <v>2</v>
      </c>
      <c r="C10" s="37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13" ht="31.5" customHeight="1">
      <c r="A11" s="319">
        <v>1</v>
      </c>
      <c r="B11" s="243" t="s">
        <v>29</v>
      </c>
      <c r="C11" s="38" t="s">
        <v>30</v>
      </c>
      <c r="D11" s="39">
        <f>'1-1-სამ-აფრიკა'!L258</f>
        <v>0</v>
      </c>
      <c r="E11" s="40"/>
      <c r="F11" s="40"/>
      <c r="G11" s="40"/>
      <c r="H11" s="40">
        <f>G11+F11+E11+D11</f>
        <v>0</v>
      </c>
    </row>
    <row r="12" spans="1:13" ht="31.5" customHeight="1">
      <c r="A12" s="319">
        <v>2</v>
      </c>
      <c r="B12" s="243" t="s">
        <v>31</v>
      </c>
      <c r="C12" s="38" t="s">
        <v>364</v>
      </c>
      <c r="D12" s="40">
        <f>'1-2-წკ'!L75</f>
        <v>0</v>
      </c>
      <c r="E12" s="40"/>
      <c r="F12" s="40"/>
      <c r="G12" s="40"/>
      <c r="H12" s="40">
        <f>G12+F12+E12+D12</f>
        <v>0</v>
      </c>
    </row>
    <row r="13" spans="1:13" ht="31.5" customHeight="1">
      <c r="A13" s="319">
        <v>3</v>
      </c>
      <c r="B13" s="243" t="s">
        <v>244</v>
      </c>
      <c r="C13" s="38" t="s">
        <v>365</v>
      </c>
      <c r="D13" s="40">
        <f>'1-3-გარე ქსელები'!L61</f>
        <v>0</v>
      </c>
      <c r="E13" s="40"/>
      <c r="F13" s="40"/>
      <c r="G13" s="40"/>
      <c r="H13" s="40">
        <f>G13+F13+E13+D13</f>
        <v>0</v>
      </c>
    </row>
    <row r="14" spans="1:13" ht="31.5" customHeight="1">
      <c r="A14" s="319">
        <v>4</v>
      </c>
      <c r="B14" s="243" t="s">
        <v>245</v>
      </c>
      <c r="C14" s="38" t="s">
        <v>32</v>
      </c>
      <c r="D14" s="40">
        <f>'1-4 ელ'!L85</f>
        <v>0</v>
      </c>
      <c r="E14" s="40">
        <f>'1-4 ელ'!L86</f>
        <v>0</v>
      </c>
      <c r="F14" s="40"/>
      <c r="G14" s="40"/>
      <c r="H14" s="942">
        <f t="shared" ref="H14:H16" si="0">G14+F14+E14+D14</f>
        <v>0</v>
      </c>
    </row>
    <row r="15" spans="1:13" ht="31.5" customHeight="1">
      <c r="A15" s="319">
        <v>5</v>
      </c>
      <c r="B15" s="243" t="s">
        <v>375</v>
      </c>
      <c r="C15" s="83" t="s">
        <v>33</v>
      </c>
      <c r="D15" s="40">
        <f>'1-5-ვკ'!L57</f>
        <v>0</v>
      </c>
      <c r="E15" s="40"/>
      <c r="F15" s="40"/>
      <c r="G15" s="40"/>
      <c r="H15" s="40">
        <f t="shared" si="0"/>
        <v>0</v>
      </c>
    </row>
    <row r="16" spans="1:13" ht="31.5" customHeight="1">
      <c r="A16" s="968">
        <v>6</v>
      </c>
      <c r="B16" s="963" t="s">
        <v>378</v>
      </c>
      <c r="C16" s="969" t="s">
        <v>379</v>
      </c>
      <c r="D16" s="970">
        <f>'1-6-ეზო'!L303</f>
        <v>0</v>
      </c>
      <c r="E16" s="970"/>
      <c r="F16" s="970"/>
      <c r="G16" s="970"/>
      <c r="H16" s="40">
        <f t="shared" si="0"/>
        <v>0</v>
      </c>
    </row>
    <row r="17" spans="1:8" s="25" customFormat="1" ht="25.9" customHeight="1">
      <c r="A17" s="15"/>
      <c r="B17" s="325"/>
      <c r="C17" s="84" t="s">
        <v>21</v>
      </c>
      <c r="D17" s="85">
        <f>SUM(D11:D16)</f>
        <v>0</v>
      </c>
      <c r="E17" s="85">
        <f>SUM(E11:E16)</f>
        <v>0</v>
      </c>
      <c r="F17" s="85">
        <f>SUM(F11:F15)</f>
        <v>0</v>
      </c>
      <c r="G17" s="85"/>
      <c r="H17" s="85">
        <f>SUM(H11:H16)</f>
        <v>0</v>
      </c>
    </row>
    <row r="18" spans="1:8" s="86" customFormat="1" ht="32.450000000000003" customHeight="1">
      <c r="A18" s="108">
        <v>7</v>
      </c>
      <c r="B18" s="113"/>
      <c r="C18" s="114" t="s">
        <v>428</v>
      </c>
      <c r="D18" s="111"/>
      <c r="E18" s="111"/>
      <c r="F18" s="111"/>
      <c r="G18" s="111"/>
      <c r="H18" s="111">
        <f>H17*0.015</f>
        <v>0</v>
      </c>
    </row>
    <row r="19" spans="1:8" s="25" customFormat="1" ht="20.45" customHeight="1">
      <c r="A19" s="15"/>
      <c r="B19" s="325"/>
      <c r="C19" s="84" t="s">
        <v>21</v>
      </c>
      <c r="D19" s="85"/>
      <c r="E19" s="85"/>
      <c r="F19" s="85"/>
      <c r="G19" s="85"/>
      <c r="H19" s="85">
        <f>SUM(H17:H18)</f>
        <v>0</v>
      </c>
    </row>
    <row r="20" spans="1:8" s="87" customFormat="1" ht="23.45" customHeight="1">
      <c r="A20" s="962">
        <v>8</v>
      </c>
      <c r="B20" s="113"/>
      <c r="C20" s="114" t="s">
        <v>23</v>
      </c>
      <c r="D20" s="109"/>
      <c r="E20" s="109"/>
      <c r="F20" s="109"/>
      <c r="G20" s="109"/>
      <c r="H20" s="109">
        <f>H19*0.05</f>
        <v>0</v>
      </c>
    </row>
    <row r="21" spans="1:8" s="25" customFormat="1" ht="19.149999999999999" customHeight="1">
      <c r="A21" s="15"/>
      <c r="B21" s="325"/>
      <c r="C21" s="84" t="s">
        <v>21</v>
      </c>
      <c r="D21" s="85"/>
      <c r="E21" s="85"/>
      <c r="F21" s="85"/>
      <c r="G21" s="85"/>
      <c r="H21" s="85">
        <f>SUM(H19:H20)</f>
        <v>0</v>
      </c>
    </row>
    <row r="22" spans="1:8" s="87" customFormat="1" ht="23.45" customHeight="1">
      <c r="A22" s="962">
        <v>9</v>
      </c>
      <c r="B22" s="962"/>
      <c r="C22" s="114" t="s">
        <v>24</v>
      </c>
      <c r="D22" s="109"/>
      <c r="E22" s="109"/>
      <c r="F22" s="109"/>
      <c r="G22" s="109">
        <f>H21*0.18</f>
        <v>0</v>
      </c>
      <c r="H22" s="109">
        <f>G22</f>
        <v>0</v>
      </c>
    </row>
    <row r="23" spans="1:8" s="87" customFormat="1">
      <c r="A23" s="962"/>
      <c r="B23" s="962"/>
      <c r="C23" s="112" t="s">
        <v>22</v>
      </c>
      <c r="D23" s="110"/>
      <c r="E23" s="110"/>
      <c r="F23" s="110"/>
      <c r="G23" s="110">
        <f>G22+G21</f>
        <v>0</v>
      </c>
      <c r="H23" s="110">
        <f>H22+H21</f>
        <v>0</v>
      </c>
    </row>
    <row r="46" ht="28.9" customHeight="1"/>
    <row r="77" ht="32.450000000000003" customHeight="1"/>
    <row r="172" ht="36.6" customHeight="1"/>
    <row r="179" ht="42.6" customHeight="1"/>
    <row r="186" ht="39.6" customHeight="1"/>
    <row r="477" spans="3:3">
      <c r="C477" s="27" t="s">
        <v>174</v>
      </c>
    </row>
  </sheetData>
  <mergeCells count="8">
    <mergeCell ref="A1:M1"/>
    <mergeCell ref="A2:D2"/>
    <mergeCell ref="A4:H4"/>
    <mergeCell ref="D6:F6"/>
    <mergeCell ref="D8:H8"/>
    <mergeCell ref="A8:A9"/>
    <mergeCell ref="B8:B9"/>
    <mergeCell ref="C8:C9"/>
  </mergeCells>
  <printOptions horizontalCentered="1"/>
  <pageMargins left="0.118110236220472" right="0.118110236220472" top="0.31299212599999998" bottom="0.24803149599999999" header="0.66929133858267698" footer="0.314960629921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288"/>
  <sheetViews>
    <sheetView tabSelected="1" topLeftCell="A186" zoomScale="103" zoomScaleNormal="103" zoomScaleSheetLayoutView="100" workbookViewId="0">
      <pane xSplit="15990" topLeftCell="G1"/>
      <selection activeCell="G100" sqref="G100"/>
      <selection pane="topRight" activeCell="M959" sqref="M959"/>
    </sheetView>
  </sheetViews>
  <sheetFormatPr defaultColWidth="9.140625" defaultRowHeight="13.5"/>
  <cols>
    <col min="1" max="1" width="5" style="65" customWidth="1"/>
    <col min="2" max="2" width="35.42578125" style="20" customWidth="1"/>
    <col min="3" max="3" width="8.42578125" style="54" customWidth="1"/>
    <col min="4" max="4" width="8.5703125" style="195" customWidth="1"/>
    <col min="5" max="5" width="8.7109375" style="195" customWidth="1"/>
    <col min="6" max="6" width="8.85546875" style="196" customWidth="1"/>
    <col min="7" max="7" width="10.42578125" style="196" customWidth="1"/>
    <col min="8" max="8" width="8.7109375" style="196" customWidth="1"/>
    <col min="9" max="9" width="9.28515625" style="196" customWidth="1"/>
    <col min="10" max="10" width="7.85546875" style="278" customWidth="1"/>
    <col min="11" max="11" width="9" style="196" customWidth="1"/>
    <col min="12" max="12" width="10.42578125" style="196" customWidth="1"/>
    <col min="13" max="16384" width="9.140625" style="265"/>
  </cols>
  <sheetData>
    <row r="1" spans="1:25" s="331" customFormat="1" ht="28.5" customHeight="1">
      <c r="A1" s="115"/>
      <c r="B1" s="1090" t="s">
        <v>34</v>
      </c>
      <c r="C1" s="1090"/>
      <c r="D1" s="1091"/>
      <c r="E1" s="1091"/>
      <c r="F1" s="1091"/>
      <c r="G1" s="1091"/>
      <c r="H1" s="1091"/>
      <c r="I1" s="1091"/>
      <c r="J1" s="1092"/>
      <c r="K1" s="116"/>
      <c r="L1" s="116"/>
    </row>
    <row r="2" spans="1:25" s="331" customFormat="1" ht="15">
      <c r="A2" s="115"/>
      <c r="B2" s="1093" t="s">
        <v>30</v>
      </c>
      <c r="C2" s="1093"/>
      <c r="D2" s="1094"/>
      <c r="E2" s="1094"/>
      <c r="F2" s="1094"/>
      <c r="G2" s="1094"/>
      <c r="H2" s="1094"/>
      <c r="I2" s="1094"/>
      <c r="J2" s="278"/>
      <c r="K2" s="116"/>
      <c r="L2" s="116"/>
    </row>
    <row r="3" spans="1:25" s="297" customFormat="1" ht="15" customHeight="1">
      <c r="A3" s="115"/>
      <c r="B3" s="50"/>
      <c r="C3" s="68"/>
      <c r="D3" s="116"/>
      <c r="E3" s="116"/>
      <c r="F3" s="116"/>
      <c r="G3" s="116"/>
      <c r="H3" s="116"/>
      <c r="I3" s="116"/>
      <c r="J3" s="290"/>
      <c r="K3" s="116"/>
      <c r="L3" s="116"/>
    </row>
    <row r="4" spans="1:25" s="263" customFormat="1" ht="31.5" customHeight="1">
      <c r="A4" s="1087" t="s">
        <v>13</v>
      </c>
      <c r="B4" s="1087" t="s">
        <v>27</v>
      </c>
      <c r="C4" s="1087" t="s">
        <v>173</v>
      </c>
      <c r="D4" s="1095" t="s">
        <v>36</v>
      </c>
      <c r="E4" s="1096"/>
      <c r="F4" s="1097" t="s">
        <v>37</v>
      </c>
      <c r="G4" s="1097"/>
      <c r="H4" s="1097" t="s">
        <v>38</v>
      </c>
      <c r="I4" s="1097"/>
      <c r="J4" s="1098" t="s">
        <v>39</v>
      </c>
      <c r="K4" s="1097"/>
      <c r="L4" s="1088" t="s">
        <v>40</v>
      </c>
    </row>
    <row r="5" spans="1:25" s="263" customFormat="1" ht="38.450000000000003" customHeight="1">
      <c r="A5" s="1087"/>
      <c r="B5" s="1087"/>
      <c r="C5" s="1087"/>
      <c r="D5" s="327" t="s">
        <v>41</v>
      </c>
      <c r="E5" s="1038" t="s">
        <v>22</v>
      </c>
      <c r="F5" s="327" t="s">
        <v>42</v>
      </c>
      <c r="G5" s="327" t="s">
        <v>43</v>
      </c>
      <c r="H5" s="327" t="s">
        <v>42</v>
      </c>
      <c r="I5" s="327" t="s">
        <v>43</v>
      </c>
      <c r="J5" s="328" t="s">
        <v>42</v>
      </c>
      <c r="K5" s="327" t="s">
        <v>43</v>
      </c>
      <c r="L5" s="1089"/>
    </row>
    <row r="6" spans="1:25" s="1" customFormat="1" ht="15">
      <c r="A6" s="74">
        <v>1</v>
      </c>
      <c r="B6" s="74">
        <v>2</v>
      </c>
      <c r="C6" s="75">
        <v>3</v>
      </c>
      <c r="D6" s="74">
        <v>4</v>
      </c>
      <c r="E6" s="74">
        <v>5</v>
      </c>
      <c r="F6" s="74">
        <v>6</v>
      </c>
      <c r="G6" s="76">
        <v>7</v>
      </c>
      <c r="H6" s="280">
        <v>8</v>
      </c>
      <c r="I6" s="76">
        <v>9</v>
      </c>
      <c r="J6" s="74">
        <v>10</v>
      </c>
      <c r="K6" s="74">
        <v>11</v>
      </c>
      <c r="L6" s="74">
        <v>12</v>
      </c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>
      <c r="A7" s="117"/>
      <c r="B7" s="497" t="s">
        <v>216</v>
      </c>
      <c r="C7" s="326"/>
      <c r="D7" s="119"/>
      <c r="E7" s="119"/>
      <c r="F7" s="119"/>
      <c r="G7" s="120"/>
      <c r="H7" s="119"/>
      <c r="I7" s="119"/>
      <c r="J7" s="119"/>
      <c r="K7" s="119"/>
      <c r="L7" s="119"/>
    </row>
    <row r="8" spans="1:25">
      <c r="A8" s="750"/>
      <c r="B8" s="878" t="s">
        <v>211</v>
      </c>
      <c r="C8" s="742"/>
      <c r="D8" s="879"/>
      <c r="E8" s="879"/>
      <c r="F8" s="879"/>
      <c r="G8" s="880"/>
      <c r="H8" s="879"/>
      <c r="I8" s="879"/>
      <c r="J8" s="879"/>
      <c r="K8" s="879"/>
      <c r="L8" s="879"/>
    </row>
    <row r="9" spans="1:25" s="206" customFormat="1" ht="39" customHeight="1">
      <c r="A9" s="345">
        <v>1</v>
      </c>
      <c r="B9" s="346" t="s">
        <v>327</v>
      </c>
      <c r="C9" s="347" t="s">
        <v>160</v>
      </c>
      <c r="D9" s="348"/>
      <c r="E9" s="349">
        <v>7.14</v>
      </c>
      <c r="F9" s="348"/>
      <c r="G9" s="349"/>
      <c r="H9" s="348"/>
      <c r="I9" s="348"/>
      <c r="J9" s="348"/>
      <c r="K9" s="348"/>
      <c r="L9" s="348"/>
    </row>
    <row r="10" spans="1:25" s="206" customFormat="1">
      <c r="A10" s="737"/>
      <c r="B10" s="121" t="s">
        <v>45</v>
      </c>
      <c r="C10" s="737" t="s">
        <v>46</v>
      </c>
      <c r="D10" s="123">
        <f>0.7*1.6737</f>
        <v>1.1715899999999999</v>
      </c>
      <c r="E10" s="124">
        <f>D10*E9</f>
        <v>8.3651525999999983</v>
      </c>
      <c r="F10" s="125"/>
      <c r="G10" s="631"/>
      <c r="H10" s="125"/>
      <c r="I10" s="73">
        <f>H10*E10</f>
        <v>0</v>
      </c>
      <c r="J10" s="125"/>
      <c r="K10" s="125"/>
      <c r="L10" s="73">
        <f>K10+I10+G10</f>
        <v>0</v>
      </c>
      <c r="O10" s="298"/>
    </row>
    <row r="11" spans="1:25" s="206" customFormat="1" ht="38.450000000000003" customHeight="1">
      <c r="A11" s="345">
        <v>2</v>
      </c>
      <c r="B11" s="346" t="s">
        <v>178</v>
      </c>
      <c r="C11" s="347" t="s">
        <v>160</v>
      </c>
      <c r="D11" s="348"/>
      <c r="E11" s="349">
        <f>0.98*2</f>
        <v>1.96</v>
      </c>
      <c r="F11" s="348"/>
      <c r="G11" s="349"/>
      <c r="H11" s="348"/>
      <c r="I11" s="348"/>
      <c r="J11" s="348"/>
      <c r="K11" s="348"/>
      <c r="L11" s="348"/>
    </row>
    <row r="12" spans="1:25" s="206" customFormat="1">
      <c r="A12" s="737"/>
      <c r="B12" s="121" t="s">
        <v>45</v>
      </c>
      <c r="C12" s="737" t="s">
        <v>46</v>
      </c>
      <c r="D12" s="123">
        <f>0.7*1.9901</f>
        <v>1.3930699999999998</v>
      </c>
      <c r="E12" s="124">
        <f>D12*E11</f>
        <v>2.7304171999999998</v>
      </c>
      <c r="F12" s="125"/>
      <c r="G12" s="631"/>
      <c r="H12" s="125"/>
      <c r="I12" s="73">
        <f>H12*E12</f>
        <v>0</v>
      </c>
      <c r="J12" s="125"/>
      <c r="K12" s="125"/>
      <c r="L12" s="73">
        <f>K12+I12+G12</f>
        <v>0</v>
      </c>
      <c r="O12" s="298"/>
    </row>
    <row r="13" spans="1:25" s="205" customFormat="1" ht="27">
      <c r="A13" s="347">
        <v>3</v>
      </c>
      <c r="B13" s="350" t="s">
        <v>179</v>
      </c>
      <c r="C13" s="347" t="s">
        <v>160</v>
      </c>
      <c r="D13" s="351"/>
      <c r="E13" s="352">
        <v>32.19</v>
      </c>
      <c r="F13" s="353"/>
      <c r="G13" s="354"/>
      <c r="H13" s="353"/>
      <c r="I13" s="354"/>
      <c r="J13" s="353"/>
      <c r="K13" s="354"/>
      <c r="L13" s="354"/>
      <c r="O13" s="355"/>
    </row>
    <row r="14" spans="1:25" s="206" customFormat="1">
      <c r="A14" s="737"/>
      <c r="B14" s="121" t="s">
        <v>45</v>
      </c>
      <c r="C14" s="737" t="s">
        <v>46</v>
      </c>
      <c r="D14" s="123">
        <v>8.2000000000000003E-2</v>
      </c>
      <c r="E14" s="124">
        <f>D14*E13</f>
        <v>2.63958</v>
      </c>
      <c r="F14" s="125"/>
      <c r="G14" s="631"/>
      <c r="H14" s="125"/>
      <c r="I14" s="73">
        <f>H14*E14</f>
        <v>0</v>
      </c>
      <c r="J14" s="125"/>
      <c r="K14" s="125"/>
      <c r="L14" s="73">
        <f>K14+I14+G14</f>
        <v>0</v>
      </c>
      <c r="O14" s="298"/>
    </row>
    <row r="15" spans="1:25" s="6" customFormat="1" ht="15.75">
      <c r="A15" s="737"/>
      <c r="B15" s="121" t="s">
        <v>53</v>
      </c>
      <c r="C15" s="737" t="s">
        <v>2</v>
      </c>
      <c r="D15" s="631">
        <v>5.0000000000000001E-3</v>
      </c>
      <c r="E15" s="125">
        <f>D15*E13</f>
        <v>0.16094999999999998</v>
      </c>
      <c r="F15" s="125"/>
      <c r="G15" s="73"/>
      <c r="H15" s="125"/>
      <c r="I15" s="73"/>
      <c r="J15" s="125"/>
      <c r="K15" s="73">
        <f>J15*E15</f>
        <v>0</v>
      </c>
      <c r="L15" s="127">
        <f>K15+I15+G15</f>
        <v>0</v>
      </c>
      <c r="M15" s="256"/>
      <c r="N15" s="256"/>
      <c r="O15" s="298"/>
      <c r="P15" s="256"/>
      <c r="Q15" s="256"/>
    </row>
    <row r="16" spans="1:25" s="299" customFormat="1" ht="40.5">
      <c r="A16" s="347">
        <v>4</v>
      </c>
      <c r="B16" s="356" t="s">
        <v>183</v>
      </c>
      <c r="C16" s="498" t="s">
        <v>184</v>
      </c>
      <c r="D16" s="338"/>
      <c r="E16" s="353">
        <v>30.7</v>
      </c>
      <c r="F16" s="353"/>
      <c r="G16" s="354"/>
      <c r="H16" s="353"/>
      <c r="I16" s="354"/>
      <c r="J16" s="353"/>
      <c r="K16" s="354"/>
      <c r="L16" s="354"/>
      <c r="O16" s="298"/>
    </row>
    <row r="17" spans="1:17" s="206" customFormat="1">
      <c r="A17" s="737"/>
      <c r="B17" s="121" t="s">
        <v>45</v>
      </c>
      <c r="C17" s="737" t="s">
        <v>46</v>
      </c>
      <c r="D17" s="123">
        <v>0.78500000000000003</v>
      </c>
      <c r="E17" s="124">
        <f>D17*E16</f>
        <v>24.099499999999999</v>
      </c>
      <c r="F17" s="125"/>
      <c r="G17" s="631"/>
      <c r="H17" s="125"/>
      <c r="I17" s="73">
        <f>H17*E17</f>
        <v>0</v>
      </c>
      <c r="J17" s="125"/>
      <c r="K17" s="125"/>
      <c r="L17" s="73">
        <f>K17+I17+G17</f>
        <v>0</v>
      </c>
      <c r="O17" s="298"/>
    </row>
    <row r="18" spans="1:17" s="205" customFormat="1" ht="15.75">
      <c r="A18" s="347">
        <v>5</v>
      </c>
      <c r="B18" s="350" t="s">
        <v>440</v>
      </c>
      <c r="C18" s="347" t="s">
        <v>160</v>
      </c>
      <c r="D18" s="351"/>
      <c r="E18" s="352">
        <v>21.26</v>
      </c>
      <c r="F18" s="353"/>
      <c r="G18" s="354"/>
      <c r="H18" s="353"/>
      <c r="I18" s="354"/>
      <c r="J18" s="353"/>
      <c r="K18" s="354"/>
      <c r="L18" s="354"/>
      <c r="O18" s="355"/>
    </row>
    <row r="19" spans="1:17" s="206" customFormat="1">
      <c r="A19" s="971"/>
      <c r="B19" s="121" t="s">
        <v>45</v>
      </c>
      <c r="C19" s="971" t="s">
        <v>46</v>
      </c>
      <c r="D19" s="123">
        <v>0.32300000000000001</v>
      </c>
      <c r="E19" s="124">
        <f>D19*E18</f>
        <v>6.8669800000000008</v>
      </c>
      <c r="F19" s="125"/>
      <c r="G19" s="631"/>
      <c r="H19" s="125"/>
      <c r="I19" s="73">
        <f>H19*E19</f>
        <v>0</v>
      </c>
      <c r="J19" s="125"/>
      <c r="K19" s="125"/>
      <c r="L19" s="73">
        <f>K19+I19+G19</f>
        <v>0</v>
      </c>
      <c r="O19" s="298"/>
    </row>
    <row r="20" spans="1:17" s="6" customFormat="1" ht="15.75">
      <c r="A20" s="971"/>
      <c r="B20" s="121" t="s">
        <v>53</v>
      </c>
      <c r="C20" s="971" t="s">
        <v>2</v>
      </c>
      <c r="D20" s="631">
        <v>2.1499999999999998E-2</v>
      </c>
      <c r="E20" s="125">
        <f>D20*E18</f>
        <v>0.45709</v>
      </c>
      <c r="F20" s="125"/>
      <c r="G20" s="73"/>
      <c r="H20" s="125"/>
      <c r="I20" s="73"/>
      <c r="J20" s="125"/>
      <c r="K20" s="73">
        <f>J20*E20</f>
        <v>0</v>
      </c>
      <c r="L20" s="127">
        <f>K20+I20+G20</f>
        <v>0</v>
      </c>
      <c r="M20" s="256"/>
      <c r="N20" s="256"/>
      <c r="O20" s="298"/>
      <c r="P20" s="256"/>
      <c r="Q20" s="256"/>
    </row>
    <row r="21" spans="1:17" s="299" customFormat="1" ht="15.75">
      <c r="A21" s="338">
        <v>6</v>
      </c>
      <c r="B21" s="356" t="s">
        <v>441</v>
      </c>
      <c r="C21" s="347" t="s">
        <v>160</v>
      </c>
      <c r="D21" s="338"/>
      <c r="E21" s="353">
        <v>21.26</v>
      </c>
      <c r="F21" s="353"/>
      <c r="G21" s="354"/>
      <c r="H21" s="353"/>
      <c r="I21" s="354"/>
      <c r="J21" s="353"/>
      <c r="K21" s="354"/>
      <c r="L21" s="354"/>
      <c r="O21" s="298"/>
    </row>
    <row r="22" spans="1:17" s="206" customFormat="1">
      <c r="A22" s="971"/>
      <c r="B22" s="121" t="s">
        <v>45</v>
      </c>
      <c r="C22" s="971" t="s">
        <v>46</v>
      </c>
      <c r="D22" s="123">
        <v>1.1120000000000001</v>
      </c>
      <c r="E22" s="124">
        <f>D22*E21</f>
        <v>23.641120000000004</v>
      </c>
      <c r="F22" s="125"/>
      <c r="G22" s="631"/>
      <c r="H22" s="125"/>
      <c r="I22" s="73">
        <f>H22*E22</f>
        <v>0</v>
      </c>
      <c r="J22" s="125"/>
      <c r="K22" s="125"/>
      <c r="L22" s="73">
        <f>K22+I22+G22</f>
        <v>0</v>
      </c>
      <c r="O22" s="298"/>
    </row>
    <row r="23" spans="1:17" s="206" customFormat="1">
      <c r="A23" s="655"/>
      <c r="B23" s="868" t="s">
        <v>317</v>
      </c>
      <c r="C23" s="655" t="s">
        <v>47</v>
      </c>
      <c r="D23" s="873">
        <v>0.38400000000000001</v>
      </c>
      <c r="E23" s="874">
        <f>D23*E21</f>
        <v>8.1638400000000004</v>
      </c>
      <c r="F23" s="866"/>
      <c r="G23" s="869"/>
      <c r="H23" s="866"/>
      <c r="I23" s="634"/>
      <c r="J23" s="866"/>
      <c r="K23" s="73">
        <f>J23*E23</f>
        <v>0</v>
      </c>
      <c r="L23" s="127">
        <f>K23+I23+G23</f>
        <v>0</v>
      </c>
      <c r="O23" s="298"/>
    </row>
    <row r="24" spans="1:17" s="206" customFormat="1">
      <c r="A24" s="655"/>
      <c r="B24" s="868" t="s">
        <v>318</v>
      </c>
      <c r="C24" s="655" t="s">
        <v>47</v>
      </c>
      <c r="D24" s="873">
        <v>0.38400000000000001</v>
      </c>
      <c r="E24" s="874">
        <f>D24*E21</f>
        <v>8.1638400000000004</v>
      </c>
      <c r="F24" s="866"/>
      <c r="G24" s="869"/>
      <c r="H24" s="866"/>
      <c r="I24" s="634"/>
      <c r="J24" s="866"/>
      <c r="K24" s="73">
        <f>J24*E24</f>
        <v>0</v>
      </c>
      <c r="L24" s="127">
        <f>K24+I24+G24</f>
        <v>0</v>
      </c>
      <c r="O24" s="298"/>
    </row>
    <row r="25" spans="1:17" s="307" customFormat="1" ht="27">
      <c r="A25" s="738">
        <v>7</v>
      </c>
      <c r="B25" s="848" t="s">
        <v>330</v>
      </c>
      <c r="C25" s="347" t="s">
        <v>156</v>
      </c>
      <c r="D25" s="881"/>
      <c r="E25" s="882">
        <v>5.4269999999999996</v>
      </c>
      <c r="F25" s="883"/>
      <c r="G25" s="858"/>
      <c r="H25" s="883"/>
      <c r="I25" s="741"/>
      <c r="J25" s="883"/>
      <c r="K25" s="883"/>
      <c r="L25" s="741"/>
      <c r="O25" s="355"/>
    </row>
    <row r="26" spans="1:17" s="206" customFormat="1">
      <c r="A26" s="876"/>
      <c r="B26" s="121" t="s">
        <v>45</v>
      </c>
      <c r="C26" s="876" t="s">
        <v>46</v>
      </c>
      <c r="D26" s="123">
        <v>4.8</v>
      </c>
      <c r="E26" s="124">
        <f>D26*E25</f>
        <v>26.049599999999998</v>
      </c>
      <c r="F26" s="125"/>
      <c r="G26" s="631"/>
      <c r="H26" s="125"/>
      <c r="I26" s="73">
        <f>H26*E26</f>
        <v>0</v>
      </c>
      <c r="J26" s="125"/>
      <c r="K26" s="125"/>
      <c r="L26" s="73">
        <f>K26+I26+G26</f>
        <v>0</v>
      </c>
      <c r="O26" s="298"/>
    </row>
    <row r="27" spans="1:17" s="6" customFormat="1" ht="15.75">
      <c r="A27" s="876"/>
      <c r="B27" s="121" t="s">
        <v>53</v>
      </c>
      <c r="C27" s="876" t="s">
        <v>2</v>
      </c>
      <c r="D27" s="631">
        <v>1.1000000000000001</v>
      </c>
      <c r="E27" s="125">
        <f>D27*E25</f>
        <v>5.9697000000000005</v>
      </c>
      <c r="F27" s="125"/>
      <c r="G27" s="73"/>
      <c r="H27" s="125"/>
      <c r="I27" s="73"/>
      <c r="J27" s="125"/>
      <c r="K27" s="73">
        <f>J27*E27</f>
        <v>0</v>
      </c>
      <c r="L27" s="127">
        <f>K27+I27+G27</f>
        <v>0</v>
      </c>
      <c r="M27" s="256"/>
      <c r="N27" s="256"/>
      <c r="O27" s="298"/>
      <c r="P27" s="256"/>
      <c r="Q27" s="256"/>
    </row>
    <row r="28" spans="1:17" s="299" customFormat="1" ht="27">
      <c r="A28" s="338">
        <v>8</v>
      </c>
      <c r="B28" s="356" t="s">
        <v>344</v>
      </c>
      <c r="C28" s="347" t="s">
        <v>160</v>
      </c>
      <c r="D28" s="338"/>
      <c r="E28" s="353">
        <v>70</v>
      </c>
      <c r="F28" s="353"/>
      <c r="G28" s="354"/>
      <c r="H28" s="353"/>
      <c r="I28" s="354"/>
      <c r="J28" s="353"/>
      <c r="K28" s="354"/>
      <c r="L28" s="354"/>
      <c r="O28" s="298"/>
    </row>
    <row r="29" spans="1:17" s="206" customFormat="1">
      <c r="A29" s="876"/>
      <c r="B29" s="121" t="s">
        <v>45</v>
      </c>
      <c r="C29" s="876" t="s">
        <v>46</v>
      </c>
      <c r="D29" s="123">
        <v>0.186</v>
      </c>
      <c r="E29" s="124">
        <f>D29*E28</f>
        <v>13.02</v>
      </c>
      <c r="F29" s="125"/>
      <c r="G29" s="631"/>
      <c r="H29" s="125"/>
      <c r="I29" s="73">
        <f>H29*E29</f>
        <v>0</v>
      </c>
      <c r="J29" s="125"/>
      <c r="K29" s="125"/>
      <c r="L29" s="73">
        <f>K29+I29+G29</f>
        <v>0</v>
      </c>
      <c r="O29" s="298"/>
    </row>
    <row r="30" spans="1:17" s="6" customFormat="1" ht="15.75">
      <c r="A30" s="876"/>
      <c r="B30" s="121" t="s">
        <v>53</v>
      </c>
      <c r="C30" s="876" t="s">
        <v>2</v>
      </c>
      <c r="D30" s="631">
        <v>1.6000000000000001E-3</v>
      </c>
      <c r="E30" s="125">
        <f>D30*E28</f>
        <v>0.112</v>
      </c>
      <c r="F30" s="125"/>
      <c r="G30" s="73"/>
      <c r="H30" s="125"/>
      <c r="I30" s="73"/>
      <c r="J30" s="125"/>
      <c r="K30" s="73">
        <f>J30*E30</f>
        <v>0</v>
      </c>
      <c r="L30" s="127">
        <f>K30+I30+G30</f>
        <v>0</v>
      </c>
      <c r="M30" s="256"/>
      <c r="N30" s="256"/>
      <c r="O30" s="298"/>
      <c r="P30" s="256"/>
      <c r="Q30" s="256"/>
    </row>
    <row r="31" spans="1:17" s="299" customFormat="1" ht="27">
      <c r="A31" s="338">
        <v>9</v>
      </c>
      <c r="B31" s="356" t="s">
        <v>345</v>
      </c>
      <c r="C31" s="347" t="s">
        <v>160</v>
      </c>
      <c r="D31" s="338"/>
      <c r="E31" s="353">
        <v>8.5399999999999991</v>
      </c>
      <c r="F31" s="353"/>
      <c r="G31" s="354"/>
      <c r="H31" s="353"/>
      <c r="I31" s="354"/>
      <c r="J31" s="353"/>
      <c r="K31" s="354"/>
      <c r="L31" s="354"/>
      <c r="O31" s="298"/>
    </row>
    <row r="32" spans="1:17" s="206" customFormat="1">
      <c r="A32" s="877"/>
      <c r="B32" s="121" t="s">
        <v>45</v>
      </c>
      <c r="C32" s="877" t="s">
        <v>46</v>
      </c>
      <c r="D32" s="123">
        <v>0.186</v>
      </c>
      <c r="E32" s="124">
        <f>D32*E31</f>
        <v>1.5884399999999999</v>
      </c>
      <c r="F32" s="125"/>
      <c r="G32" s="631"/>
      <c r="H32" s="125"/>
      <c r="I32" s="73">
        <f>H32*E32</f>
        <v>0</v>
      </c>
      <c r="J32" s="125"/>
      <c r="K32" s="125"/>
      <c r="L32" s="73">
        <f>K32+I32+G32</f>
        <v>0</v>
      </c>
      <c r="O32" s="298"/>
    </row>
    <row r="33" spans="1:17" s="6" customFormat="1" ht="15.75">
      <c r="A33" s="877"/>
      <c r="B33" s="121" t="s">
        <v>53</v>
      </c>
      <c r="C33" s="877" t="s">
        <v>2</v>
      </c>
      <c r="D33" s="631">
        <v>1.6000000000000001E-3</v>
      </c>
      <c r="E33" s="125">
        <f>D33*E31</f>
        <v>1.3663999999999999E-2</v>
      </c>
      <c r="F33" s="125"/>
      <c r="G33" s="73"/>
      <c r="H33" s="125"/>
      <c r="I33" s="73"/>
      <c r="J33" s="125"/>
      <c r="K33" s="73">
        <f>J33*E33</f>
        <v>0</v>
      </c>
      <c r="L33" s="127">
        <f>K33+I33+G33</f>
        <v>0</v>
      </c>
      <c r="M33" s="256"/>
      <c r="N33" s="256"/>
      <c r="O33" s="298"/>
      <c r="P33" s="256"/>
      <c r="Q33" s="256"/>
    </row>
    <row r="34" spans="1:17" s="299" customFormat="1" ht="40.5">
      <c r="A34" s="338">
        <v>10</v>
      </c>
      <c r="B34" s="356" t="s">
        <v>403</v>
      </c>
      <c r="C34" s="347" t="s">
        <v>160</v>
      </c>
      <c r="D34" s="338"/>
      <c r="E34" s="353">
        <v>9.64</v>
      </c>
      <c r="F34" s="353"/>
      <c r="G34" s="354"/>
      <c r="H34" s="353"/>
      <c r="I34" s="354"/>
      <c r="J34" s="353"/>
      <c r="K34" s="354"/>
      <c r="L34" s="354"/>
      <c r="O34" s="298"/>
    </row>
    <row r="35" spans="1:17" s="206" customFormat="1">
      <c r="A35" s="971"/>
      <c r="B35" s="121" t="s">
        <v>45</v>
      </c>
      <c r="C35" s="971" t="s">
        <v>46</v>
      </c>
      <c r="D35" s="123">
        <v>0.186</v>
      </c>
      <c r="E35" s="124">
        <f>D35*E34</f>
        <v>1.7930400000000002</v>
      </c>
      <c r="F35" s="125"/>
      <c r="G35" s="631"/>
      <c r="H35" s="125"/>
      <c r="I35" s="73">
        <f>H35*E35</f>
        <v>0</v>
      </c>
      <c r="J35" s="125"/>
      <c r="K35" s="125"/>
      <c r="L35" s="73">
        <f>K35+I35+G35</f>
        <v>0</v>
      </c>
      <c r="O35" s="298"/>
    </row>
    <row r="36" spans="1:17" s="6" customFormat="1" ht="15.75">
      <c r="A36" s="971"/>
      <c r="B36" s="121" t="s">
        <v>53</v>
      </c>
      <c r="C36" s="971" t="s">
        <v>2</v>
      </c>
      <c r="D36" s="631">
        <v>1.6000000000000001E-3</v>
      </c>
      <c r="E36" s="125">
        <f>D36*E34</f>
        <v>1.5424000000000002E-2</v>
      </c>
      <c r="F36" s="125"/>
      <c r="G36" s="73"/>
      <c r="H36" s="125"/>
      <c r="I36" s="73"/>
      <c r="J36" s="125"/>
      <c r="K36" s="73">
        <f>J36*E36</f>
        <v>0</v>
      </c>
      <c r="L36" s="127">
        <f>K36+I36+G36</f>
        <v>0</v>
      </c>
      <c r="M36" s="256"/>
      <c r="N36" s="256"/>
      <c r="O36" s="298"/>
      <c r="P36" s="256"/>
      <c r="Q36" s="256"/>
    </row>
    <row r="37" spans="1:17" s="7" customFormat="1" ht="40.5">
      <c r="A37" s="738">
        <v>11</v>
      </c>
      <c r="B37" s="848" t="s">
        <v>346</v>
      </c>
      <c r="C37" s="347" t="s">
        <v>160</v>
      </c>
      <c r="D37" s="858"/>
      <c r="E37" s="883">
        <v>14.94</v>
      </c>
      <c r="F37" s="883"/>
      <c r="G37" s="741"/>
      <c r="H37" s="883"/>
      <c r="I37" s="741"/>
      <c r="J37" s="883"/>
      <c r="K37" s="741"/>
      <c r="L37" s="788"/>
      <c r="M37" s="303"/>
      <c r="N37" s="303"/>
      <c r="O37" s="355"/>
      <c r="P37" s="303"/>
      <c r="Q37" s="303"/>
    </row>
    <row r="38" spans="1:17" s="206" customFormat="1">
      <c r="A38" s="877"/>
      <c r="B38" s="121" t="s">
        <v>45</v>
      </c>
      <c r="C38" s="877" t="s">
        <v>46</v>
      </c>
      <c r="D38" s="123">
        <v>0.77</v>
      </c>
      <c r="E38" s="124">
        <f>D38*E37</f>
        <v>11.5038</v>
      </c>
      <c r="F38" s="125"/>
      <c r="G38" s="631"/>
      <c r="H38" s="125"/>
      <c r="I38" s="73">
        <f>H38*E38</f>
        <v>0</v>
      </c>
      <c r="J38" s="125"/>
      <c r="K38" s="125"/>
      <c r="L38" s="73">
        <f>K38+I38+G38</f>
        <v>0</v>
      </c>
      <c r="O38" s="298"/>
    </row>
    <row r="39" spans="1:17" s="6" customFormat="1" ht="15.75">
      <c r="A39" s="877"/>
      <c r="B39" s="121" t="s">
        <v>53</v>
      </c>
      <c r="C39" s="877" t="s">
        <v>2</v>
      </c>
      <c r="D39" s="631">
        <v>4.2099999999999999E-2</v>
      </c>
      <c r="E39" s="125">
        <f>D39*E37</f>
        <v>0.62897399999999992</v>
      </c>
      <c r="F39" s="125"/>
      <c r="G39" s="73"/>
      <c r="H39" s="125"/>
      <c r="I39" s="73"/>
      <c r="J39" s="125"/>
      <c r="K39" s="73">
        <f>J39*E39</f>
        <v>0</v>
      </c>
      <c r="L39" s="127">
        <f>K39+I39+G39</f>
        <v>0</v>
      </c>
      <c r="M39" s="256"/>
      <c r="N39" s="256"/>
      <c r="O39" s="298"/>
      <c r="P39" s="256"/>
      <c r="Q39" s="256"/>
    </row>
    <row r="40" spans="1:17" s="206" customFormat="1" ht="44.45" customHeight="1">
      <c r="A40" s="345">
        <v>12</v>
      </c>
      <c r="B40" s="346" t="s">
        <v>278</v>
      </c>
      <c r="C40" s="347" t="s">
        <v>156</v>
      </c>
      <c r="D40" s="348"/>
      <c r="E40" s="349">
        <f>0.4*0.4*0.4</f>
        <v>6.4000000000000015E-2</v>
      </c>
      <c r="F40" s="348"/>
      <c r="G40" s="349"/>
      <c r="H40" s="348"/>
      <c r="I40" s="348"/>
      <c r="J40" s="348"/>
      <c r="K40" s="348"/>
      <c r="L40" s="348"/>
    </row>
    <row r="41" spans="1:17" s="206" customFormat="1">
      <c r="A41" s="737"/>
      <c r="B41" s="121" t="s">
        <v>45</v>
      </c>
      <c r="C41" s="737" t="s">
        <v>46</v>
      </c>
      <c r="D41" s="123">
        <v>8.89</v>
      </c>
      <c r="E41" s="124">
        <f>D41*E40</f>
        <v>0.56896000000000013</v>
      </c>
      <c r="F41" s="125"/>
      <c r="G41" s="631"/>
      <c r="H41" s="125"/>
      <c r="I41" s="73">
        <f>H41*E41</f>
        <v>0</v>
      </c>
      <c r="J41" s="125"/>
      <c r="K41" s="125"/>
      <c r="L41" s="73">
        <f>K41+I41+G41</f>
        <v>0</v>
      </c>
      <c r="O41" s="298"/>
    </row>
    <row r="42" spans="1:17" s="6" customFormat="1" ht="15.75">
      <c r="A42" s="737"/>
      <c r="B42" s="121" t="s">
        <v>53</v>
      </c>
      <c r="C42" s="737" t="s">
        <v>2</v>
      </c>
      <c r="D42" s="631">
        <v>2.61</v>
      </c>
      <c r="E42" s="125">
        <f>D42*E40</f>
        <v>0.16704000000000002</v>
      </c>
      <c r="F42" s="125"/>
      <c r="G42" s="73"/>
      <c r="H42" s="125"/>
      <c r="I42" s="73"/>
      <c r="J42" s="125"/>
      <c r="K42" s="73">
        <f>J42*E42</f>
        <v>0</v>
      </c>
      <c r="L42" s="127">
        <f>K42+I42+G42</f>
        <v>0</v>
      </c>
      <c r="M42" s="256"/>
      <c r="N42" s="256"/>
      <c r="O42" s="298"/>
      <c r="P42" s="256"/>
      <c r="Q42" s="256"/>
    </row>
    <row r="43" spans="1:17" s="7" customFormat="1" ht="40.5">
      <c r="A43" s="738">
        <v>13</v>
      </c>
      <c r="B43" s="848" t="s">
        <v>396</v>
      </c>
      <c r="C43" s="738" t="s">
        <v>51</v>
      </c>
      <c r="D43" s="858"/>
      <c r="E43" s="883">
        <v>3.96</v>
      </c>
      <c r="F43" s="883"/>
      <c r="G43" s="741"/>
      <c r="H43" s="883"/>
      <c r="I43" s="741"/>
      <c r="J43" s="883"/>
      <c r="K43" s="741"/>
      <c r="L43" s="788"/>
      <c r="M43" s="303"/>
      <c r="N43" s="303"/>
      <c r="O43" s="355"/>
      <c r="P43" s="303"/>
      <c r="Q43" s="303"/>
    </row>
    <row r="44" spans="1:17" s="206" customFormat="1">
      <c r="A44" s="971"/>
      <c r="B44" s="121" t="s">
        <v>45</v>
      </c>
      <c r="C44" s="971" t="s">
        <v>51</v>
      </c>
      <c r="D44" s="123">
        <v>1</v>
      </c>
      <c r="E44" s="124">
        <f>D44*E43</f>
        <v>3.96</v>
      </c>
      <c r="F44" s="125"/>
      <c r="G44" s="631"/>
      <c r="H44" s="125"/>
      <c r="I44" s="73">
        <f>H44*E44</f>
        <v>0</v>
      </c>
      <c r="J44" s="125"/>
      <c r="K44" s="125"/>
      <c r="L44" s="73">
        <f>K44+I44+G44</f>
        <v>0</v>
      </c>
      <c r="O44" s="298"/>
    </row>
    <row r="45" spans="1:17" s="7" customFormat="1" ht="40.5">
      <c r="A45" s="738">
        <v>14</v>
      </c>
      <c r="B45" s="848" t="s">
        <v>387</v>
      </c>
      <c r="C45" s="738" t="s">
        <v>339</v>
      </c>
      <c r="D45" s="858"/>
      <c r="E45" s="883">
        <v>1</v>
      </c>
      <c r="F45" s="883"/>
      <c r="G45" s="741"/>
      <c r="H45" s="883"/>
      <c r="I45" s="741"/>
      <c r="J45" s="883"/>
      <c r="K45" s="994"/>
      <c r="L45" s="509"/>
      <c r="M45" s="303"/>
      <c r="N45" s="303"/>
      <c r="O45" s="355"/>
      <c r="P45" s="303"/>
      <c r="Q45" s="303"/>
    </row>
    <row r="46" spans="1:17" s="256" customFormat="1" ht="15.75">
      <c r="A46" s="742"/>
      <c r="B46" s="768" t="s">
        <v>388</v>
      </c>
      <c r="C46" s="742" t="s">
        <v>339</v>
      </c>
      <c r="D46" s="752"/>
      <c r="E46" s="753">
        <v>1</v>
      </c>
      <c r="F46" s="753"/>
      <c r="G46" s="746"/>
      <c r="H46" s="753"/>
      <c r="I46" s="746"/>
      <c r="J46" s="753"/>
      <c r="K46" s="73">
        <f>J46*E46</f>
        <v>0</v>
      </c>
      <c r="L46" s="127">
        <f>K46+I46+G46</f>
        <v>0</v>
      </c>
      <c r="O46" s="298"/>
    </row>
    <row r="47" spans="1:17" s="7" customFormat="1" ht="40.5">
      <c r="A47" s="738">
        <v>15</v>
      </c>
      <c r="B47" s="848" t="s">
        <v>395</v>
      </c>
      <c r="C47" s="498" t="s">
        <v>156</v>
      </c>
      <c r="D47" s="858"/>
      <c r="E47" s="883">
        <v>8.5449999999999999</v>
      </c>
      <c r="F47" s="883"/>
      <c r="G47" s="741"/>
      <c r="H47" s="883"/>
      <c r="I47" s="741"/>
      <c r="J47" s="883"/>
      <c r="K47" s="741"/>
      <c r="L47" s="788"/>
      <c r="M47" s="303"/>
      <c r="N47" s="303"/>
      <c r="O47" s="355"/>
      <c r="P47" s="303"/>
      <c r="Q47" s="303"/>
    </row>
    <row r="48" spans="1:17" s="256" customFormat="1" ht="15.75">
      <c r="A48" s="742"/>
      <c r="B48" s="768" t="s">
        <v>425</v>
      </c>
      <c r="C48" s="742" t="s">
        <v>47</v>
      </c>
      <c r="D48" s="752">
        <f>1.25*0.041</f>
        <v>5.1250000000000004E-2</v>
      </c>
      <c r="E48" s="753">
        <f>D48*E47</f>
        <v>0.43793125000000005</v>
      </c>
      <c r="F48" s="753"/>
      <c r="G48" s="746"/>
      <c r="H48" s="753"/>
      <c r="I48" s="746"/>
      <c r="J48" s="753"/>
      <c r="K48" s="73">
        <f>J48*E48</f>
        <v>0</v>
      </c>
      <c r="L48" s="127">
        <f>K48+I48+G48</f>
        <v>0</v>
      </c>
      <c r="O48" s="298"/>
    </row>
    <row r="49" spans="1:17" s="7" customFormat="1" ht="27">
      <c r="A49" s="738">
        <v>16</v>
      </c>
      <c r="B49" s="848" t="s">
        <v>391</v>
      </c>
      <c r="C49" s="498" t="s">
        <v>156</v>
      </c>
      <c r="D49" s="858"/>
      <c r="E49" s="883">
        <v>8.5449999999999999</v>
      </c>
      <c r="F49" s="883"/>
      <c r="G49" s="741"/>
      <c r="H49" s="883"/>
      <c r="I49" s="741"/>
      <c r="J49" s="883"/>
      <c r="K49" s="741"/>
      <c r="L49" s="788"/>
      <c r="M49" s="303"/>
      <c r="N49" s="303"/>
      <c r="O49" s="355"/>
      <c r="P49" s="303"/>
      <c r="Q49" s="303"/>
    </row>
    <row r="50" spans="1:17" s="256" customFormat="1" ht="15.75">
      <c r="A50" s="742"/>
      <c r="B50" s="768" t="s">
        <v>388</v>
      </c>
      <c r="C50" s="742" t="s">
        <v>51</v>
      </c>
      <c r="D50" s="752">
        <v>1.8</v>
      </c>
      <c r="E50" s="753">
        <f>D50*E49</f>
        <v>15.381</v>
      </c>
      <c r="F50" s="753"/>
      <c r="G50" s="746"/>
      <c r="H50" s="753"/>
      <c r="I50" s="746"/>
      <c r="J50" s="753"/>
      <c r="K50" s="73">
        <f>J50*E50</f>
        <v>0</v>
      </c>
      <c r="L50" s="127">
        <f>K50+I50+G50</f>
        <v>0</v>
      </c>
      <c r="O50" s="298"/>
    </row>
    <row r="51" spans="1:17" s="206" customFormat="1">
      <c r="A51" s="330"/>
      <c r="B51" s="508" t="s">
        <v>217</v>
      </c>
      <c r="C51" s="122"/>
      <c r="D51" s="133"/>
      <c r="E51" s="134"/>
      <c r="F51" s="125"/>
      <c r="G51" s="73"/>
      <c r="H51" s="125"/>
      <c r="I51" s="73"/>
      <c r="J51" s="125"/>
      <c r="K51" s="73"/>
      <c r="L51" s="73"/>
      <c r="O51" s="298"/>
    </row>
    <row r="52" spans="1:17" s="263" customFormat="1" ht="15.75">
      <c r="A52" s="330"/>
      <c r="B52" s="499" t="s">
        <v>211</v>
      </c>
      <c r="C52" s="330"/>
      <c r="D52" s="329"/>
      <c r="E52" s="130"/>
      <c r="F52" s="125"/>
      <c r="G52" s="73"/>
      <c r="H52" s="125"/>
      <c r="I52" s="73"/>
      <c r="J52" s="125"/>
      <c r="K52" s="73"/>
      <c r="L52" s="73"/>
      <c r="O52" s="298"/>
    </row>
    <row r="53" spans="1:17" s="307" customFormat="1" ht="40.5">
      <c r="A53" s="347">
        <v>17</v>
      </c>
      <c r="B53" s="350" t="s">
        <v>409</v>
      </c>
      <c r="C53" s="498" t="s">
        <v>156</v>
      </c>
      <c r="D53" s="351"/>
      <c r="E53" s="352">
        <v>8.44</v>
      </c>
      <c r="F53" s="353"/>
      <c r="G53" s="354"/>
      <c r="H53" s="353"/>
      <c r="I53" s="354"/>
      <c r="J53" s="353"/>
      <c r="K53" s="354"/>
      <c r="L53" s="354"/>
      <c r="O53" s="355"/>
    </row>
    <row r="54" spans="1:17" s="6" customFormat="1" ht="15.75">
      <c r="A54" s="332"/>
      <c r="B54" s="55" t="s">
        <v>55</v>
      </c>
      <c r="C54" s="630" t="s">
        <v>65</v>
      </c>
      <c r="D54" s="631">
        <v>65.349999999999994</v>
      </c>
      <c r="E54" s="124">
        <f>D54*E53</f>
        <v>551.55399999999997</v>
      </c>
      <c r="F54" s="125"/>
      <c r="G54" s="73"/>
      <c r="H54" s="125"/>
      <c r="I54" s="73">
        <f>H54*E54</f>
        <v>0</v>
      </c>
      <c r="J54" s="125"/>
      <c r="K54" s="73"/>
      <c r="L54" s="73">
        <f>K54+I54+G54</f>
        <v>0</v>
      </c>
      <c r="M54" s="256"/>
      <c r="N54" s="256"/>
      <c r="O54" s="298"/>
      <c r="P54" s="256"/>
      <c r="Q54" s="256"/>
    </row>
    <row r="55" spans="1:17" s="6" customFormat="1" ht="15.75">
      <c r="A55" s="332"/>
      <c r="B55" s="121" t="s">
        <v>53</v>
      </c>
      <c r="C55" s="332" t="s">
        <v>2</v>
      </c>
      <c r="D55" s="333">
        <v>0.92</v>
      </c>
      <c r="E55" s="125">
        <f>D55*E53</f>
        <v>7.7648000000000001</v>
      </c>
      <c r="F55" s="125"/>
      <c r="G55" s="73"/>
      <c r="H55" s="125"/>
      <c r="I55" s="73"/>
      <c r="J55" s="125"/>
      <c r="K55" s="73">
        <f>J55*E55</f>
        <v>0</v>
      </c>
      <c r="L55" s="127">
        <f>K55+I55+G55</f>
        <v>0</v>
      </c>
      <c r="M55" s="256"/>
      <c r="N55" s="256"/>
      <c r="O55" s="298"/>
      <c r="P55" s="256"/>
      <c r="Q55" s="256"/>
    </row>
    <row r="56" spans="1:17" s="6" customFormat="1" ht="15.75">
      <c r="A56" s="332"/>
      <c r="B56" s="55" t="s">
        <v>74</v>
      </c>
      <c r="C56" s="332" t="s">
        <v>65</v>
      </c>
      <c r="D56" s="631">
        <v>65.349999999999994</v>
      </c>
      <c r="E56" s="125">
        <f>E53*D56</f>
        <v>551.55399999999997</v>
      </c>
      <c r="F56" s="125"/>
      <c r="G56" s="127">
        <f>F56*E56</f>
        <v>0</v>
      </c>
      <c r="H56" s="125"/>
      <c r="I56" s="73"/>
      <c r="J56" s="125"/>
      <c r="K56" s="73"/>
      <c r="L56" s="127">
        <f>K56+I56+G56</f>
        <v>0</v>
      </c>
      <c r="M56" s="256"/>
      <c r="N56" s="256"/>
      <c r="O56" s="298"/>
      <c r="P56" s="256"/>
      <c r="Q56" s="256"/>
    </row>
    <row r="57" spans="1:17" s="6" customFormat="1" ht="15.75">
      <c r="A57" s="332"/>
      <c r="B57" s="55" t="s">
        <v>75</v>
      </c>
      <c r="C57" s="122" t="s">
        <v>151</v>
      </c>
      <c r="D57" s="631">
        <v>0.11</v>
      </c>
      <c r="E57" s="125">
        <f>D57*E53</f>
        <v>0.9284</v>
      </c>
      <c r="F57" s="125"/>
      <c r="G57" s="73">
        <f>F57*E57</f>
        <v>0</v>
      </c>
      <c r="H57" s="125"/>
      <c r="I57" s="73"/>
      <c r="J57" s="125"/>
      <c r="K57" s="73"/>
      <c r="L57" s="73">
        <f>K57+I57+G57</f>
        <v>0</v>
      </c>
      <c r="M57" s="256"/>
      <c r="N57" s="256"/>
      <c r="O57" s="298"/>
      <c r="P57" s="256"/>
      <c r="Q57" s="256"/>
    </row>
    <row r="58" spans="1:17" s="6" customFormat="1" ht="15.75">
      <c r="A58" s="332"/>
      <c r="B58" s="121" t="s">
        <v>54</v>
      </c>
      <c r="C58" s="122" t="s">
        <v>2</v>
      </c>
      <c r="D58" s="333">
        <v>0.16</v>
      </c>
      <c r="E58" s="125">
        <f>D58*E53</f>
        <v>1.3504</v>
      </c>
      <c r="F58" s="125"/>
      <c r="G58" s="127">
        <f>F58*E58</f>
        <v>0</v>
      </c>
      <c r="H58" s="125"/>
      <c r="I58" s="73"/>
      <c r="J58" s="125"/>
      <c r="K58" s="73"/>
      <c r="L58" s="127">
        <f>K58+I58+G58</f>
        <v>0</v>
      </c>
      <c r="M58" s="256"/>
      <c r="N58" s="256"/>
      <c r="O58" s="298"/>
      <c r="P58" s="256"/>
      <c r="Q58" s="256"/>
    </row>
    <row r="59" spans="1:17" customFormat="1" ht="40.5">
      <c r="A59" s="738">
        <v>18</v>
      </c>
      <c r="B59" s="738" t="s">
        <v>410</v>
      </c>
      <c r="C59" s="740" t="s">
        <v>282</v>
      </c>
      <c r="D59" s="741"/>
      <c r="E59" s="741">
        <v>1.96</v>
      </c>
      <c r="F59" s="769"/>
      <c r="G59" s="770"/>
      <c r="H59" s="738"/>
      <c r="I59" s="741"/>
      <c r="J59" s="741"/>
      <c r="K59" s="769"/>
      <c r="L59" s="738"/>
    </row>
    <row r="60" spans="1:17" s="19" customFormat="1" ht="15">
      <c r="A60" s="742"/>
      <c r="B60" s="743" t="s">
        <v>45</v>
      </c>
      <c r="C60" s="744" t="s">
        <v>46</v>
      </c>
      <c r="D60" s="744">
        <v>22.9</v>
      </c>
      <c r="E60" s="745">
        <f>D60*E59</f>
        <v>44.883999999999993</v>
      </c>
      <c r="F60" s="742"/>
      <c r="G60" s="742"/>
      <c r="H60" s="742"/>
      <c r="I60" s="746">
        <f>H60*E60</f>
        <v>0</v>
      </c>
      <c r="J60" s="742"/>
      <c r="K60" s="746"/>
      <c r="L60" s="746">
        <f t="shared" ref="L60:L68" si="0">K60+I60+G60</f>
        <v>0</v>
      </c>
    </row>
    <row r="61" spans="1:17" s="19" customFormat="1" ht="15">
      <c r="A61" s="742"/>
      <c r="B61" s="743" t="s">
        <v>53</v>
      </c>
      <c r="C61" s="744" t="s">
        <v>2</v>
      </c>
      <c r="D61" s="766">
        <v>0.99</v>
      </c>
      <c r="E61" s="767">
        <f>D61*E59</f>
        <v>1.9403999999999999</v>
      </c>
      <c r="F61" s="742"/>
      <c r="G61" s="742"/>
      <c r="H61" s="742"/>
      <c r="I61" s="746"/>
      <c r="J61" s="742"/>
      <c r="K61" s="746">
        <f>E61*J61</f>
        <v>0</v>
      </c>
      <c r="L61" s="746">
        <f t="shared" si="0"/>
        <v>0</v>
      </c>
    </row>
    <row r="62" spans="1:17" s="19" customFormat="1" ht="15" customHeight="1">
      <c r="A62" s="742"/>
      <c r="B62" s="763" t="s">
        <v>283</v>
      </c>
      <c r="C62" s="744" t="s">
        <v>51</v>
      </c>
      <c r="D62" s="766">
        <v>0.02</v>
      </c>
      <c r="E62" s="792">
        <f>D62*E59</f>
        <v>3.9199999999999999E-2</v>
      </c>
      <c r="F62" s="794"/>
      <c r="G62" s="746">
        <f>E62*F62</f>
        <v>0</v>
      </c>
      <c r="H62" s="742"/>
      <c r="I62" s="746"/>
      <c r="J62" s="742"/>
      <c r="K62" s="742"/>
      <c r="L62" s="746">
        <f t="shared" si="0"/>
        <v>0</v>
      </c>
    </row>
    <row r="63" spans="1:17" s="19" customFormat="1" ht="15.75">
      <c r="A63" s="742"/>
      <c r="B63" s="763" t="s">
        <v>172</v>
      </c>
      <c r="C63" s="744" t="s">
        <v>166</v>
      </c>
      <c r="D63" s="766">
        <v>1.02</v>
      </c>
      <c r="E63" s="767">
        <f>D63*E59</f>
        <v>1.9992000000000001</v>
      </c>
      <c r="F63" s="417"/>
      <c r="G63" s="753">
        <f>E63*F63</f>
        <v>0</v>
      </c>
      <c r="H63" s="742"/>
      <c r="I63" s="746"/>
      <c r="J63" s="742"/>
      <c r="K63" s="742"/>
      <c r="L63" s="746">
        <f t="shared" si="0"/>
        <v>0</v>
      </c>
    </row>
    <row r="64" spans="1:17" s="19" customFormat="1" ht="15">
      <c r="A64" s="742"/>
      <c r="B64" s="763" t="s">
        <v>300</v>
      </c>
      <c r="C64" s="744" t="s">
        <v>51</v>
      </c>
      <c r="D64" s="766"/>
      <c r="E64" s="767">
        <v>0.13</v>
      </c>
      <c r="F64" s="514"/>
      <c r="G64" s="753">
        <f>E64*F64</f>
        <v>0</v>
      </c>
      <c r="H64" s="742"/>
      <c r="I64" s="746"/>
      <c r="J64" s="742"/>
      <c r="K64" s="742"/>
      <c r="L64" s="746">
        <f t="shared" si="0"/>
        <v>0</v>
      </c>
    </row>
    <row r="65" spans="1:17" s="77" customFormat="1">
      <c r="A65" s="117"/>
      <c r="B65" s="121" t="s">
        <v>307</v>
      </c>
      <c r="C65" s="630" t="s">
        <v>51</v>
      </c>
      <c r="D65" s="631"/>
      <c r="E65" s="104">
        <v>9.2599999999999991E-3</v>
      </c>
      <c r="F65" s="104"/>
      <c r="G65" s="127">
        <f>F65*E65</f>
        <v>0</v>
      </c>
      <c r="H65" s="104"/>
      <c r="I65" s="136"/>
      <c r="J65" s="135"/>
      <c r="K65" s="136"/>
      <c r="L65" s="127">
        <f t="shared" si="0"/>
        <v>0</v>
      </c>
      <c r="M65" s="206"/>
      <c r="N65" s="206"/>
      <c r="O65" s="298"/>
      <c r="P65" s="206"/>
      <c r="Q65" s="206"/>
    </row>
    <row r="66" spans="1:17" s="19" customFormat="1" ht="27">
      <c r="A66" s="742"/>
      <c r="B66" s="121" t="s">
        <v>209</v>
      </c>
      <c r="C66" s="744" t="s">
        <v>150</v>
      </c>
      <c r="D66" s="744">
        <v>2.2999999999999998</v>
      </c>
      <c r="E66" s="745">
        <f>D66*E59</f>
        <v>4.508</v>
      </c>
      <c r="F66" s="746"/>
      <c r="G66" s="753">
        <f>E66*F66</f>
        <v>0</v>
      </c>
      <c r="H66" s="742"/>
      <c r="I66" s="746"/>
      <c r="J66" s="742"/>
      <c r="K66" s="746"/>
      <c r="L66" s="746">
        <f t="shared" si="0"/>
        <v>0</v>
      </c>
    </row>
    <row r="67" spans="1:17" s="19" customFormat="1" ht="15.75">
      <c r="A67" s="742"/>
      <c r="B67" s="743" t="s">
        <v>58</v>
      </c>
      <c r="C67" s="744" t="s">
        <v>166</v>
      </c>
      <c r="D67" s="766">
        <v>0.14000000000000001</v>
      </c>
      <c r="E67" s="767">
        <f>D67*E59</f>
        <v>0.27440000000000003</v>
      </c>
      <c r="F67" s="746"/>
      <c r="G67" s="753">
        <f>E67*F67</f>
        <v>0</v>
      </c>
      <c r="H67" s="742"/>
      <c r="I67" s="746"/>
      <c r="J67" s="742"/>
      <c r="K67" s="742"/>
      <c r="L67" s="746">
        <f t="shared" si="0"/>
        <v>0</v>
      </c>
    </row>
    <row r="68" spans="1:17" s="19" customFormat="1" ht="15">
      <c r="A68" s="742"/>
      <c r="B68" s="743" t="s">
        <v>54</v>
      </c>
      <c r="C68" s="744" t="s">
        <v>2</v>
      </c>
      <c r="D68" s="766">
        <v>1.1299999999999999</v>
      </c>
      <c r="E68" s="767">
        <f>D68*E59</f>
        <v>2.2147999999999999</v>
      </c>
      <c r="F68" s="742"/>
      <c r="G68" s="753">
        <f>E68*F68</f>
        <v>0</v>
      </c>
      <c r="H68" s="742"/>
      <c r="I68" s="746"/>
      <c r="J68" s="742"/>
      <c r="K68" s="742"/>
      <c r="L68" s="746">
        <f t="shared" si="0"/>
        <v>0</v>
      </c>
    </row>
    <row r="69" spans="1:17" s="302" customFormat="1" ht="25.5">
      <c r="A69" s="501">
        <v>19</v>
      </c>
      <c r="B69" s="491" t="s">
        <v>284</v>
      </c>
      <c r="C69" s="347" t="s">
        <v>160</v>
      </c>
      <c r="D69" s="502"/>
      <c r="E69" s="473">
        <v>33.01</v>
      </c>
      <c r="F69" s="473"/>
      <c r="G69" s="795"/>
      <c r="H69" s="473"/>
      <c r="I69" s="503"/>
      <c r="J69" s="473"/>
      <c r="K69" s="503"/>
      <c r="L69" s="503"/>
      <c r="O69" s="355"/>
    </row>
    <row r="70" spans="1:17" s="77" customFormat="1" ht="15.75">
      <c r="A70" s="877"/>
      <c r="B70" s="121" t="s">
        <v>76</v>
      </c>
      <c r="C70" s="886" t="s">
        <v>150</v>
      </c>
      <c r="D70" s="631">
        <v>1</v>
      </c>
      <c r="E70" s="125">
        <f>E69*D70</f>
        <v>33.01</v>
      </c>
      <c r="F70" s="125"/>
      <c r="G70" s="73"/>
      <c r="H70" s="125"/>
      <c r="I70" s="73">
        <f>H70*E70</f>
        <v>0</v>
      </c>
      <c r="J70" s="125"/>
      <c r="K70" s="73"/>
      <c r="L70" s="73">
        <f t="shared" ref="L70:L75" si="1">K70+I70+G70</f>
        <v>0</v>
      </c>
      <c r="M70" s="206"/>
      <c r="N70" s="206"/>
      <c r="O70" s="298"/>
      <c r="P70" s="206"/>
      <c r="Q70" s="206"/>
    </row>
    <row r="71" spans="1:17" s="77" customFormat="1">
      <c r="A71" s="117"/>
      <c r="B71" s="121" t="s">
        <v>48</v>
      </c>
      <c r="C71" s="877" t="s">
        <v>2</v>
      </c>
      <c r="D71" s="631">
        <v>3.3999999999999998E-3</v>
      </c>
      <c r="E71" s="104">
        <f>D71*E69</f>
        <v>0.11223399999999999</v>
      </c>
      <c r="F71" s="103"/>
      <c r="G71" s="127"/>
      <c r="H71" s="104"/>
      <c r="I71" s="136"/>
      <c r="J71" s="104"/>
      <c r="K71" s="127">
        <f>J71*E71</f>
        <v>0</v>
      </c>
      <c r="L71" s="127">
        <f t="shared" si="1"/>
        <v>0</v>
      </c>
      <c r="M71" s="206"/>
      <c r="N71" s="206"/>
      <c r="O71" s="298"/>
      <c r="P71" s="206"/>
      <c r="Q71" s="206"/>
    </row>
    <row r="72" spans="1:17" s="77" customFormat="1" ht="27">
      <c r="A72" s="877"/>
      <c r="B72" s="121" t="s">
        <v>343</v>
      </c>
      <c r="C72" s="877" t="s">
        <v>150</v>
      </c>
      <c r="D72" s="123">
        <v>1.1000000000000001</v>
      </c>
      <c r="E72" s="124">
        <f>D72*E69</f>
        <v>36.311</v>
      </c>
      <c r="F72" s="103"/>
      <c r="G72" s="127">
        <f>E72*F72</f>
        <v>0</v>
      </c>
      <c r="H72" s="135"/>
      <c r="I72" s="136"/>
      <c r="J72" s="135"/>
      <c r="K72" s="136"/>
      <c r="L72" s="73">
        <f t="shared" si="1"/>
        <v>0</v>
      </c>
      <c r="M72" s="206"/>
      <c r="N72" s="206"/>
      <c r="O72" s="298"/>
      <c r="P72" s="206"/>
      <c r="Q72" s="206"/>
    </row>
    <row r="73" spans="1:17" s="197" customFormat="1" ht="27">
      <c r="A73" s="750"/>
      <c r="B73" s="763" t="s">
        <v>68</v>
      </c>
      <c r="C73" s="750" t="s">
        <v>60</v>
      </c>
      <c r="D73" s="786">
        <v>0.05</v>
      </c>
      <c r="E73" s="781">
        <f>D73*E206</f>
        <v>7.154999999999999E-3</v>
      </c>
      <c r="F73" s="781"/>
      <c r="G73" s="756">
        <f>F73*E73</f>
        <v>0</v>
      </c>
      <c r="H73" s="781"/>
      <c r="I73" s="756"/>
      <c r="J73" s="781"/>
      <c r="K73" s="756"/>
      <c r="L73" s="756">
        <f t="shared" si="1"/>
        <v>0</v>
      </c>
      <c r="O73" s="298"/>
    </row>
    <row r="74" spans="1:17" s="77" customFormat="1">
      <c r="A74" s="877"/>
      <c r="B74" s="121" t="s">
        <v>61</v>
      </c>
      <c r="C74" s="750" t="s">
        <v>60</v>
      </c>
      <c r="D74" s="133">
        <v>0.02</v>
      </c>
      <c r="E74" s="134">
        <f>D74*E69</f>
        <v>0.66020000000000001</v>
      </c>
      <c r="F74" s="336"/>
      <c r="G74" s="756">
        <f>F74*E74</f>
        <v>0</v>
      </c>
      <c r="H74" s="781"/>
      <c r="I74" s="756"/>
      <c r="J74" s="781"/>
      <c r="K74" s="756"/>
      <c r="L74" s="756">
        <f t="shared" si="1"/>
        <v>0</v>
      </c>
      <c r="M74" s="206"/>
      <c r="N74" s="206"/>
      <c r="O74" s="298"/>
      <c r="P74" s="206"/>
      <c r="Q74" s="206"/>
    </row>
    <row r="75" spans="1:17" s="77" customFormat="1">
      <c r="A75" s="117"/>
      <c r="B75" s="121" t="s">
        <v>54</v>
      </c>
      <c r="C75" s="122" t="s">
        <v>2</v>
      </c>
      <c r="D75" s="118">
        <v>3.8600000000000002E-2</v>
      </c>
      <c r="E75" s="104">
        <f>D75*E69</f>
        <v>1.274186</v>
      </c>
      <c r="F75" s="104"/>
      <c r="G75" s="127">
        <f>E75*F75</f>
        <v>0</v>
      </c>
      <c r="H75" s="135"/>
      <c r="I75" s="136"/>
      <c r="J75" s="135"/>
      <c r="K75" s="136"/>
      <c r="L75" s="73">
        <f t="shared" si="1"/>
        <v>0</v>
      </c>
      <c r="M75" s="206"/>
      <c r="N75" s="206"/>
      <c r="O75" s="298"/>
      <c r="P75" s="206"/>
      <c r="Q75" s="206"/>
    </row>
    <row r="76" spans="1:17" s="7" customFormat="1" ht="27" customHeight="1">
      <c r="A76" s="738">
        <v>20</v>
      </c>
      <c r="B76" s="738" t="s">
        <v>273</v>
      </c>
      <c r="C76" s="740" t="s">
        <v>160</v>
      </c>
      <c r="D76" s="741"/>
      <c r="E76" s="741">
        <v>7.09</v>
      </c>
      <c r="F76" s="769"/>
      <c r="G76" s="770"/>
      <c r="H76" s="738"/>
      <c r="I76" s="738"/>
      <c r="J76" s="738"/>
      <c r="K76" s="738"/>
      <c r="L76" s="771"/>
      <c r="M76" s="772"/>
      <c r="N76" s="772"/>
    </row>
    <row r="77" spans="1:17" s="266" customFormat="1">
      <c r="A77" s="764"/>
      <c r="B77" s="743" t="s">
        <v>45</v>
      </c>
      <c r="C77" s="742" t="s">
        <v>65</v>
      </c>
      <c r="D77" s="746">
        <v>12.5</v>
      </c>
      <c r="E77" s="742">
        <f>D77*E76</f>
        <v>88.625</v>
      </c>
      <c r="F77" s="742"/>
      <c r="G77" s="773"/>
      <c r="H77" s="774"/>
      <c r="I77" s="945">
        <f>H77*E77</f>
        <v>0</v>
      </c>
      <c r="J77" s="764"/>
      <c r="K77" s="764"/>
      <c r="L77" s="756">
        <f>K77+I77+G77</f>
        <v>0</v>
      </c>
    </row>
    <row r="78" spans="1:17" s="256" customFormat="1" ht="15.75" customHeight="1">
      <c r="A78" s="742"/>
      <c r="B78" s="743" t="s">
        <v>53</v>
      </c>
      <c r="C78" s="742" t="s">
        <v>2</v>
      </c>
      <c r="D78" s="748">
        <v>6.4399999999999999E-2</v>
      </c>
      <c r="E78" s="746">
        <f>E76*D78</f>
        <v>0.456596</v>
      </c>
      <c r="F78" s="742"/>
      <c r="G78" s="742"/>
      <c r="H78" s="742"/>
      <c r="I78" s="742"/>
      <c r="J78" s="742"/>
      <c r="K78" s="746">
        <f>J78*E78</f>
        <v>0</v>
      </c>
      <c r="L78" s="756">
        <f>K78+I78+G78</f>
        <v>0</v>
      </c>
    </row>
    <row r="79" spans="1:17" s="256" customFormat="1" ht="29.25" customHeight="1">
      <c r="A79" s="742"/>
      <c r="B79" s="747" t="s">
        <v>272</v>
      </c>
      <c r="C79" s="742" t="s">
        <v>65</v>
      </c>
      <c r="D79" s="746">
        <v>12.5</v>
      </c>
      <c r="E79" s="746">
        <f>E76*D79</f>
        <v>88.625</v>
      </c>
      <c r="F79" s="746"/>
      <c r="G79" s="746">
        <f>F79*E79</f>
        <v>0</v>
      </c>
      <c r="H79" s="742"/>
      <c r="I79" s="742"/>
      <c r="J79" s="742"/>
      <c r="K79" s="742"/>
      <c r="L79" s="756">
        <f>K79+I79+G79</f>
        <v>0</v>
      </c>
    </row>
    <row r="80" spans="1:17" s="256" customFormat="1" ht="15.75" customHeight="1">
      <c r="A80" s="742"/>
      <c r="B80" s="747" t="s">
        <v>75</v>
      </c>
      <c r="C80" s="744" t="s">
        <v>151</v>
      </c>
      <c r="D80" s="748">
        <v>0.01</v>
      </c>
      <c r="E80" s="746">
        <f>E76*D80</f>
        <v>7.0900000000000005E-2</v>
      </c>
      <c r="F80" s="746"/>
      <c r="G80" s="746">
        <f>F80*E80</f>
        <v>0</v>
      </c>
      <c r="H80" s="746"/>
      <c r="I80" s="746"/>
      <c r="J80" s="746"/>
      <c r="K80" s="746"/>
      <c r="L80" s="746">
        <f>K80+I80+G80</f>
        <v>0</v>
      </c>
    </row>
    <row r="81" spans="1:12" s="256" customFormat="1" ht="15.75" customHeight="1">
      <c r="A81" s="742"/>
      <c r="B81" s="743" t="s">
        <v>54</v>
      </c>
      <c r="C81" s="744" t="s">
        <v>2</v>
      </c>
      <c r="D81" s="748">
        <v>1.1999999999999999E-3</v>
      </c>
      <c r="E81" s="746">
        <f>E76*D81</f>
        <v>8.5079999999999999E-3</v>
      </c>
      <c r="F81" s="749"/>
      <c r="G81" s="756">
        <f>F81*E81</f>
        <v>0</v>
      </c>
      <c r="H81" s="742"/>
      <c r="I81" s="742"/>
      <c r="J81" s="742"/>
      <c r="K81" s="742"/>
      <c r="L81" s="756">
        <f>K81+I81+G81</f>
        <v>0</v>
      </c>
    </row>
    <row r="82" spans="1:12" s="12" customFormat="1" ht="54">
      <c r="A82" s="757">
        <v>21</v>
      </c>
      <c r="B82" s="739" t="s">
        <v>411</v>
      </c>
      <c r="C82" s="740" t="s">
        <v>160</v>
      </c>
      <c r="D82" s="778"/>
      <c r="E82" s="741">
        <f>25.97+9.64</f>
        <v>35.61</v>
      </c>
      <c r="F82" s="776"/>
      <c r="G82" s="741"/>
      <c r="H82" s="741"/>
      <c r="I82" s="741"/>
      <c r="J82" s="741"/>
      <c r="K82" s="741"/>
      <c r="L82" s="741"/>
    </row>
    <row r="83" spans="1:12" s="433" customFormat="1" ht="15.75">
      <c r="A83" s="742"/>
      <c r="B83" s="743" t="s">
        <v>45</v>
      </c>
      <c r="C83" s="744" t="s">
        <v>150</v>
      </c>
      <c r="D83" s="744">
        <v>1.01</v>
      </c>
      <c r="E83" s="745">
        <f>D83*E82</f>
        <v>35.966099999999997</v>
      </c>
      <c r="F83" s="746"/>
      <c r="G83" s="746"/>
      <c r="H83" s="746"/>
      <c r="I83" s="746">
        <f>H83*E83</f>
        <v>0</v>
      </c>
      <c r="J83" s="746"/>
      <c r="K83" s="746"/>
      <c r="L83" s="746">
        <f>K83+I83+G83</f>
        <v>0</v>
      </c>
    </row>
    <row r="84" spans="1:12" s="433" customFormat="1" ht="15">
      <c r="A84" s="742"/>
      <c r="B84" s="743" t="s">
        <v>48</v>
      </c>
      <c r="C84" s="744" t="s">
        <v>2</v>
      </c>
      <c r="D84" s="766">
        <v>2.7E-2</v>
      </c>
      <c r="E84" s="767">
        <f>D84*E82</f>
        <v>0.96146999999999994</v>
      </c>
      <c r="F84" s="746"/>
      <c r="G84" s="746"/>
      <c r="H84" s="746"/>
      <c r="I84" s="746"/>
      <c r="J84" s="746"/>
      <c r="K84" s="746">
        <f>E84*J84</f>
        <v>0</v>
      </c>
      <c r="L84" s="746">
        <f>K84+I84+G84</f>
        <v>0</v>
      </c>
    </row>
    <row r="85" spans="1:12" s="256" customFormat="1" ht="15.75">
      <c r="A85" s="742"/>
      <c r="B85" s="747" t="s">
        <v>86</v>
      </c>
      <c r="C85" s="744" t="s">
        <v>151</v>
      </c>
      <c r="D85" s="748">
        <f>0.0238*1.05</f>
        <v>2.4990000000000002E-2</v>
      </c>
      <c r="E85" s="746">
        <f>D85*E82</f>
        <v>0.88989390000000002</v>
      </c>
      <c r="F85" s="746"/>
      <c r="G85" s="746">
        <f>E85*F85</f>
        <v>0</v>
      </c>
      <c r="H85" s="746"/>
      <c r="I85" s="746"/>
      <c r="J85" s="746"/>
      <c r="K85" s="746"/>
      <c r="L85" s="746">
        <f>K85+I85+G85</f>
        <v>0</v>
      </c>
    </row>
    <row r="86" spans="1:12" s="433" customFormat="1" ht="15">
      <c r="A86" s="742"/>
      <c r="B86" s="743" t="s">
        <v>54</v>
      </c>
      <c r="C86" s="744" t="s">
        <v>2</v>
      </c>
      <c r="D86" s="766">
        <v>3.0000000000000001E-3</v>
      </c>
      <c r="E86" s="767">
        <f>D86*E82</f>
        <v>0.10682999999999999</v>
      </c>
      <c r="F86" s="746"/>
      <c r="G86" s="746">
        <f>E86*F86</f>
        <v>0</v>
      </c>
      <c r="H86" s="746"/>
      <c r="I86" s="746"/>
      <c r="J86" s="746"/>
      <c r="K86" s="746"/>
      <c r="L86" s="746">
        <f>K86+I86+G86</f>
        <v>0</v>
      </c>
    </row>
    <row r="87" spans="1:12" s="12" customFormat="1" ht="27">
      <c r="A87" s="757">
        <v>22</v>
      </c>
      <c r="B87" s="739" t="s">
        <v>352</v>
      </c>
      <c r="C87" s="740" t="s">
        <v>160</v>
      </c>
      <c r="D87" s="778"/>
      <c r="E87" s="741">
        <f>(1.7+1.1)*3.05-0.8*2.2</f>
        <v>6.7799999999999994</v>
      </c>
      <c r="F87" s="776"/>
      <c r="G87" s="741"/>
      <c r="H87" s="741"/>
      <c r="I87" s="741"/>
      <c r="J87" s="741"/>
      <c r="K87" s="741"/>
      <c r="L87" s="741"/>
    </row>
    <row r="88" spans="1:12" s="433" customFormat="1" ht="15.75">
      <c r="A88" s="742"/>
      <c r="B88" s="743" t="s">
        <v>45</v>
      </c>
      <c r="C88" s="744" t="s">
        <v>150</v>
      </c>
      <c r="D88" s="744">
        <v>1</v>
      </c>
      <c r="E88" s="745">
        <f>D88*E87</f>
        <v>6.7799999999999994</v>
      </c>
      <c r="F88" s="746"/>
      <c r="G88" s="746"/>
      <c r="H88" s="746"/>
      <c r="I88" s="746">
        <f>H88*E88</f>
        <v>0</v>
      </c>
      <c r="J88" s="746"/>
      <c r="K88" s="746"/>
      <c r="L88" s="746">
        <f>K88+I88+G88</f>
        <v>0</v>
      </c>
    </row>
    <row r="89" spans="1:12" s="433" customFormat="1" ht="15">
      <c r="A89" s="742"/>
      <c r="B89" s="743" t="s">
        <v>48</v>
      </c>
      <c r="C89" s="744" t="s">
        <v>2</v>
      </c>
      <c r="D89" s="766">
        <v>2.7E-2</v>
      </c>
      <c r="E89" s="767">
        <f>D89*E87</f>
        <v>0.18305999999999997</v>
      </c>
      <c r="F89" s="746"/>
      <c r="G89" s="746"/>
      <c r="H89" s="746"/>
      <c r="I89" s="746"/>
      <c r="J89" s="746"/>
      <c r="K89" s="746">
        <f>E89*J89</f>
        <v>0</v>
      </c>
      <c r="L89" s="746">
        <f>K89+I89+G89</f>
        <v>0</v>
      </c>
    </row>
    <row r="90" spans="1:12" s="256" customFormat="1" ht="15.75">
      <c r="A90" s="742"/>
      <c r="B90" s="747" t="s">
        <v>86</v>
      </c>
      <c r="C90" s="744" t="s">
        <v>151</v>
      </c>
      <c r="D90" s="748">
        <f>0.0238*1.05</f>
        <v>2.4990000000000002E-2</v>
      </c>
      <c r="E90" s="746">
        <f>D90*E87</f>
        <v>0.16943220000000001</v>
      </c>
      <c r="F90" s="746"/>
      <c r="G90" s="746">
        <f>E90*F90</f>
        <v>0</v>
      </c>
      <c r="H90" s="746"/>
      <c r="I90" s="746"/>
      <c r="J90" s="746"/>
      <c r="K90" s="746"/>
      <c r="L90" s="746">
        <f>K90+I90+G90</f>
        <v>0</v>
      </c>
    </row>
    <row r="91" spans="1:12" s="433" customFormat="1" ht="15">
      <c r="A91" s="742"/>
      <c r="B91" s="743" t="s">
        <v>54</v>
      </c>
      <c r="C91" s="744" t="s">
        <v>2</v>
      </c>
      <c r="D91" s="766">
        <v>3.0000000000000001E-3</v>
      </c>
      <c r="E91" s="767">
        <f>D91*E87</f>
        <v>2.0339999999999997E-2</v>
      </c>
      <c r="F91" s="746"/>
      <c r="G91" s="746">
        <f>E91*F91</f>
        <v>0</v>
      </c>
      <c r="H91" s="746"/>
      <c r="I91" s="746"/>
      <c r="J91" s="746"/>
      <c r="K91" s="746"/>
      <c r="L91" s="746">
        <f>K91+I91+G91</f>
        <v>0</v>
      </c>
    </row>
    <row r="92" spans="1:12" s="12" customFormat="1" ht="40.5">
      <c r="A92" s="757">
        <v>23</v>
      </c>
      <c r="B92" s="739" t="s">
        <v>274</v>
      </c>
      <c r="C92" s="740" t="s">
        <v>160</v>
      </c>
      <c r="D92" s="778"/>
      <c r="E92" s="741">
        <v>8.5399999999999991</v>
      </c>
      <c r="F92" s="776"/>
      <c r="G92" s="741"/>
      <c r="H92" s="741"/>
      <c r="I92" s="741"/>
      <c r="J92" s="741"/>
      <c r="K92" s="741"/>
      <c r="L92" s="741"/>
    </row>
    <row r="93" spans="1:12" s="433" customFormat="1" ht="15.75">
      <c r="A93" s="742"/>
      <c r="B93" s="743" t="s">
        <v>45</v>
      </c>
      <c r="C93" s="744" t="s">
        <v>150</v>
      </c>
      <c r="D93" s="744">
        <v>1</v>
      </c>
      <c r="E93" s="745">
        <f>D93*E92</f>
        <v>8.5399999999999991</v>
      </c>
      <c r="F93" s="746"/>
      <c r="G93" s="746"/>
      <c r="H93" s="746"/>
      <c r="I93" s="746">
        <f>H93*E93</f>
        <v>0</v>
      </c>
      <c r="J93" s="746"/>
      <c r="K93" s="746"/>
      <c r="L93" s="746">
        <f>K93+I93+G93</f>
        <v>0</v>
      </c>
    </row>
    <row r="94" spans="1:12" s="433" customFormat="1" ht="15">
      <c r="A94" s="742"/>
      <c r="B94" s="743" t="s">
        <v>48</v>
      </c>
      <c r="C94" s="744" t="s">
        <v>2</v>
      </c>
      <c r="D94" s="766">
        <v>2.7E-2</v>
      </c>
      <c r="E94" s="767">
        <f>D94*E92</f>
        <v>0.23057999999999998</v>
      </c>
      <c r="F94" s="746"/>
      <c r="G94" s="746"/>
      <c r="H94" s="746"/>
      <c r="I94" s="746"/>
      <c r="J94" s="746"/>
      <c r="K94" s="746">
        <f>E94*J94</f>
        <v>0</v>
      </c>
      <c r="L94" s="746">
        <f>K94+I94+G94</f>
        <v>0</v>
      </c>
    </row>
    <row r="95" spans="1:12" s="256" customFormat="1" ht="15.75">
      <c r="A95" s="742"/>
      <c r="B95" s="747" t="s">
        <v>86</v>
      </c>
      <c r="C95" s="744" t="s">
        <v>151</v>
      </c>
      <c r="D95" s="748">
        <f>0.0238*1.05</f>
        <v>2.4990000000000002E-2</v>
      </c>
      <c r="E95" s="746">
        <f>D95*E92</f>
        <v>0.21341459999999998</v>
      </c>
      <c r="F95" s="746"/>
      <c r="G95" s="746">
        <f>E95*F95</f>
        <v>0</v>
      </c>
      <c r="H95" s="746"/>
      <c r="I95" s="746"/>
      <c r="J95" s="746"/>
      <c r="K95" s="746"/>
      <c r="L95" s="746">
        <f>K95+I95+G95</f>
        <v>0</v>
      </c>
    </row>
    <row r="96" spans="1:12" s="433" customFormat="1" ht="15">
      <c r="A96" s="742"/>
      <c r="B96" s="743" t="s">
        <v>54</v>
      </c>
      <c r="C96" s="744" t="s">
        <v>2</v>
      </c>
      <c r="D96" s="766">
        <v>3.0000000000000001E-3</v>
      </c>
      <c r="E96" s="767">
        <f>D96*E92</f>
        <v>2.5619999999999997E-2</v>
      </c>
      <c r="F96" s="746"/>
      <c r="G96" s="746">
        <f>E96*F96</f>
        <v>0</v>
      </c>
      <c r="H96" s="746"/>
      <c r="I96" s="746"/>
      <c r="J96" s="746"/>
      <c r="K96" s="746"/>
      <c r="L96" s="746">
        <f>K96+I96+G96</f>
        <v>0</v>
      </c>
    </row>
    <row r="97" spans="1:17" s="12" customFormat="1" ht="15.75">
      <c r="A97" s="472">
        <v>24</v>
      </c>
      <c r="B97" s="339" t="s">
        <v>91</v>
      </c>
      <c r="C97" s="347" t="s">
        <v>160</v>
      </c>
      <c r="D97" s="500"/>
      <c r="E97" s="475">
        <f>0.98*2</f>
        <v>1.96</v>
      </c>
      <c r="F97" s="353"/>
      <c r="G97" s="354"/>
      <c r="H97" s="353"/>
      <c r="I97" s="354"/>
      <c r="J97" s="353"/>
      <c r="K97" s="354"/>
      <c r="L97" s="354"/>
      <c r="M97" s="72"/>
      <c r="N97" s="206"/>
      <c r="O97" s="298"/>
      <c r="P97" s="72"/>
      <c r="Q97" s="72"/>
    </row>
    <row r="98" spans="1:17" s="82" customFormat="1" ht="15.75">
      <c r="A98" s="332"/>
      <c r="B98" s="121" t="s">
        <v>45</v>
      </c>
      <c r="C98" s="886" t="s">
        <v>150</v>
      </c>
      <c r="D98" s="123">
        <v>1</v>
      </c>
      <c r="E98" s="124">
        <f>D98*E97</f>
        <v>1.96</v>
      </c>
      <c r="F98" s="125"/>
      <c r="G98" s="73"/>
      <c r="H98" s="125"/>
      <c r="I98" s="73">
        <f>H98*E98</f>
        <v>0</v>
      </c>
      <c r="J98" s="125"/>
      <c r="K98" s="73"/>
      <c r="L98" s="73">
        <f t="shared" ref="L98:L104" si="2">K98+I98+G98</f>
        <v>0</v>
      </c>
      <c r="M98" s="309"/>
      <c r="N98" s="206"/>
      <c r="O98" s="298"/>
      <c r="P98" s="309"/>
      <c r="Q98" s="309"/>
    </row>
    <row r="99" spans="1:17" s="81" customFormat="1">
      <c r="A99" s="332"/>
      <c r="B99" s="121" t="s">
        <v>48</v>
      </c>
      <c r="C99" s="122" t="s">
        <v>2</v>
      </c>
      <c r="D99" s="133">
        <v>0.51600000000000001</v>
      </c>
      <c r="E99" s="134">
        <f>D99*E97</f>
        <v>1.01136</v>
      </c>
      <c r="F99" s="125"/>
      <c r="G99" s="73"/>
      <c r="H99" s="125"/>
      <c r="I99" s="73"/>
      <c r="J99" s="125"/>
      <c r="K99" s="73">
        <f>E99*J99</f>
        <v>0</v>
      </c>
      <c r="L99" s="73">
        <f t="shared" si="2"/>
        <v>0</v>
      </c>
      <c r="M99" s="308"/>
      <c r="N99" s="206"/>
      <c r="O99" s="298"/>
      <c r="P99" s="308"/>
      <c r="Q99" s="308"/>
    </row>
    <row r="100" spans="1:17" s="9" customFormat="1" ht="38.25">
      <c r="A100" s="170"/>
      <c r="B100" s="139" t="s">
        <v>212</v>
      </c>
      <c r="C100" s="332" t="s">
        <v>150</v>
      </c>
      <c r="D100" s="123">
        <v>1</v>
      </c>
      <c r="E100" s="124">
        <f>D100*E97</f>
        <v>1.96</v>
      </c>
      <c r="F100" s="125"/>
      <c r="G100" s="73">
        <f>F100*E100</f>
        <v>0</v>
      </c>
      <c r="H100" s="166"/>
      <c r="I100" s="58"/>
      <c r="J100" s="166"/>
      <c r="K100" s="58"/>
      <c r="L100" s="73">
        <f t="shared" si="2"/>
        <v>0</v>
      </c>
      <c r="M100" s="63"/>
      <c r="N100" s="63"/>
      <c r="O100" s="298"/>
      <c r="P100" s="63"/>
      <c r="Q100" s="63"/>
    </row>
    <row r="101" spans="1:17" s="13" customFormat="1" ht="27">
      <c r="A101" s="117"/>
      <c r="B101" s="55" t="s">
        <v>68</v>
      </c>
      <c r="C101" s="117" t="s">
        <v>60</v>
      </c>
      <c r="D101" s="118">
        <v>1.56</v>
      </c>
      <c r="E101" s="104">
        <f>D101*E97</f>
        <v>3.0575999999999999</v>
      </c>
      <c r="F101" s="104"/>
      <c r="G101" s="127">
        <f>F101*E101</f>
        <v>0</v>
      </c>
      <c r="H101" s="104"/>
      <c r="I101" s="127"/>
      <c r="J101" s="104"/>
      <c r="K101" s="127"/>
      <c r="L101" s="127">
        <f t="shared" si="2"/>
        <v>0</v>
      </c>
      <c r="M101" s="197"/>
      <c r="N101" s="72"/>
      <c r="O101" s="298"/>
      <c r="P101" s="197"/>
      <c r="Q101" s="197"/>
    </row>
    <row r="102" spans="1:17" s="13" customFormat="1" ht="15">
      <c r="A102" s="117"/>
      <c r="B102" s="55" t="s">
        <v>61</v>
      </c>
      <c r="C102" s="117" t="s">
        <v>60</v>
      </c>
      <c r="D102" s="118">
        <v>0.06</v>
      </c>
      <c r="E102" s="104">
        <f>D102*E97</f>
        <v>0.1176</v>
      </c>
      <c r="F102" s="125"/>
      <c r="G102" s="127">
        <f>F102*E102</f>
        <v>0</v>
      </c>
      <c r="H102" s="125"/>
      <c r="I102" s="73"/>
      <c r="J102" s="125"/>
      <c r="K102" s="73"/>
      <c r="L102" s="127">
        <f t="shared" si="2"/>
        <v>0</v>
      </c>
      <c r="M102" s="197"/>
      <c r="N102" s="309"/>
      <c r="O102" s="298"/>
      <c r="P102" s="197"/>
      <c r="Q102" s="197"/>
    </row>
    <row r="103" spans="1:17" s="13" customFormat="1" ht="15">
      <c r="A103" s="117"/>
      <c r="B103" s="55" t="s">
        <v>59</v>
      </c>
      <c r="C103" s="117" t="s">
        <v>60</v>
      </c>
      <c r="D103" s="118">
        <v>4.8000000000000001E-2</v>
      </c>
      <c r="E103" s="104">
        <f>D103*E97</f>
        <v>9.4079999999999997E-2</v>
      </c>
      <c r="F103" s="141"/>
      <c r="G103" s="127">
        <f>F103*E103</f>
        <v>0</v>
      </c>
      <c r="H103" s="104"/>
      <c r="I103" s="127"/>
      <c r="J103" s="104"/>
      <c r="K103" s="127"/>
      <c r="L103" s="127">
        <f t="shared" si="2"/>
        <v>0</v>
      </c>
      <c r="M103" s="197"/>
      <c r="N103" s="309"/>
      <c r="O103" s="298"/>
      <c r="P103" s="197"/>
      <c r="Q103" s="197"/>
    </row>
    <row r="104" spans="1:17" s="22" customFormat="1">
      <c r="A104" s="117"/>
      <c r="B104" s="55" t="s">
        <v>54</v>
      </c>
      <c r="C104" s="122" t="s">
        <v>2</v>
      </c>
      <c r="D104" s="118">
        <v>5.3999999999999999E-2</v>
      </c>
      <c r="E104" s="104">
        <f>D104*E97</f>
        <v>0.10584</v>
      </c>
      <c r="F104" s="104"/>
      <c r="G104" s="73">
        <f>F104*E104</f>
        <v>0</v>
      </c>
      <c r="H104" s="125"/>
      <c r="I104" s="73"/>
      <c r="J104" s="125"/>
      <c r="K104" s="73"/>
      <c r="L104" s="73">
        <f t="shared" si="2"/>
        <v>0</v>
      </c>
      <c r="M104" s="265"/>
      <c r="N104" s="308"/>
      <c r="O104" s="298"/>
      <c r="P104" s="265"/>
      <c r="Q104" s="265"/>
    </row>
    <row r="105" spans="1:17" s="77" customFormat="1" ht="30.75" customHeight="1">
      <c r="A105" s="472">
        <v>25</v>
      </c>
      <c r="B105" s="339" t="s">
        <v>154</v>
      </c>
      <c r="C105" s="347" t="s">
        <v>160</v>
      </c>
      <c r="D105" s="474"/>
      <c r="E105" s="487">
        <f>3.17*1.7</f>
        <v>5.3889999999999993</v>
      </c>
      <c r="F105" s="476"/>
      <c r="G105" s="477"/>
      <c r="H105" s="476"/>
      <c r="I105" s="477"/>
      <c r="J105" s="476"/>
      <c r="K105" s="477"/>
      <c r="L105" s="477"/>
      <c r="M105" s="206"/>
      <c r="N105" s="309"/>
      <c r="O105" s="298"/>
      <c r="P105" s="206"/>
      <c r="Q105" s="206"/>
    </row>
    <row r="106" spans="1:17" s="82" customFormat="1">
      <c r="A106" s="332"/>
      <c r="B106" s="121" t="s">
        <v>45</v>
      </c>
      <c r="C106" s="332" t="s">
        <v>46</v>
      </c>
      <c r="D106" s="123">
        <v>7.65</v>
      </c>
      <c r="E106" s="124">
        <f>D106*E105</f>
        <v>41.225849999999994</v>
      </c>
      <c r="F106" s="125"/>
      <c r="G106" s="73"/>
      <c r="H106" s="125"/>
      <c r="I106" s="73">
        <f>H106*E106</f>
        <v>0</v>
      </c>
      <c r="J106" s="125"/>
      <c r="K106" s="73"/>
      <c r="L106" s="73">
        <f t="shared" ref="L106:L112" si="3">K106+I106+G106</f>
        <v>0</v>
      </c>
      <c r="M106" s="309"/>
      <c r="N106" s="206"/>
      <c r="O106" s="298"/>
      <c r="P106" s="309"/>
      <c r="Q106" s="309"/>
    </row>
    <row r="107" spans="1:17" s="77" customFormat="1">
      <c r="A107" s="180"/>
      <c r="B107" s="55" t="s">
        <v>48</v>
      </c>
      <c r="C107" s="332" t="s">
        <v>2</v>
      </c>
      <c r="D107" s="333">
        <v>0.34799999999999998</v>
      </c>
      <c r="E107" s="104">
        <f>D107*E105</f>
        <v>1.8753719999999996</v>
      </c>
      <c r="F107" s="166"/>
      <c r="G107" s="58"/>
      <c r="H107" s="166"/>
      <c r="I107" s="58"/>
      <c r="J107" s="73"/>
      <c r="K107" s="73">
        <f>E107*J107</f>
        <v>0</v>
      </c>
      <c r="L107" s="73">
        <f t="shared" si="3"/>
        <v>0</v>
      </c>
      <c r="M107" s="206"/>
      <c r="N107" s="206"/>
      <c r="O107" s="298"/>
      <c r="P107" s="206"/>
      <c r="Q107" s="206"/>
    </row>
    <row r="108" spans="1:17" s="77" customFormat="1" ht="68.45" customHeight="1">
      <c r="A108" s="180"/>
      <c r="B108" s="181" t="s">
        <v>322</v>
      </c>
      <c r="C108" s="332" t="s">
        <v>150</v>
      </c>
      <c r="D108" s="333">
        <v>1</v>
      </c>
      <c r="E108" s="104">
        <f>D108*E105</f>
        <v>5.3889999999999993</v>
      </c>
      <c r="F108" s="125"/>
      <c r="G108" s="73">
        <f>F108*E108</f>
        <v>0</v>
      </c>
      <c r="H108" s="166"/>
      <c r="I108" s="58"/>
      <c r="J108" s="166"/>
      <c r="K108" s="58"/>
      <c r="L108" s="73">
        <f t="shared" si="3"/>
        <v>0</v>
      </c>
      <c r="M108" s="206"/>
      <c r="N108" s="46"/>
      <c r="O108" s="298"/>
      <c r="P108" s="206"/>
      <c r="Q108" s="206"/>
    </row>
    <row r="109" spans="1:17" s="77" customFormat="1" ht="31.5" customHeight="1">
      <c r="A109" s="180"/>
      <c r="B109" s="181" t="s">
        <v>155</v>
      </c>
      <c r="C109" s="332" t="s">
        <v>60</v>
      </c>
      <c r="D109" s="333">
        <v>0.55000000000000004</v>
      </c>
      <c r="E109" s="104">
        <f>D109*E105</f>
        <v>2.9639500000000001</v>
      </c>
      <c r="F109" s="104"/>
      <c r="G109" s="127">
        <f>F109*E109</f>
        <v>0</v>
      </c>
      <c r="H109" s="104"/>
      <c r="I109" s="127"/>
      <c r="J109" s="104"/>
      <c r="K109" s="127"/>
      <c r="L109" s="127">
        <f t="shared" si="3"/>
        <v>0</v>
      </c>
      <c r="M109" s="206"/>
      <c r="N109" s="206"/>
      <c r="O109" s="298"/>
      <c r="P109" s="206"/>
      <c r="Q109" s="206"/>
    </row>
    <row r="110" spans="1:17" s="77" customFormat="1" ht="31.5" customHeight="1">
      <c r="A110" s="180"/>
      <c r="B110" s="55" t="s">
        <v>68</v>
      </c>
      <c r="C110" s="117" t="s">
        <v>60</v>
      </c>
      <c r="D110" s="118">
        <v>0.49</v>
      </c>
      <c r="E110" s="104">
        <f>D110*E105</f>
        <v>2.6406099999999997</v>
      </c>
      <c r="F110" s="104"/>
      <c r="G110" s="127">
        <f>F110*E110</f>
        <v>0</v>
      </c>
      <c r="H110" s="104"/>
      <c r="I110" s="127"/>
      <c r="J110" s="104"/>
      <c r="K110" s="127"/>
      <c r="L110" s="127">
        <f t="shared" si="3"/>
        <v>0</v>
      </c>
      <c r="M110" s="206"/>
      <c r="N110" s="309"/>
      <c r="O110" s="298"/>
      <c r="P110" s="206"/>
      <c r="Q110" s="206"/>
    </row>
    <row r="111" spans="1:17" s="77" customFormat="1" ht="31.5" customHeight="1">
      <c r="A111" s="180"/>
      <c r="B111" s="181" t="s">
        <v>59</v>
      </c>
      <c r="C111" s="332" t="s">
        <v>60</v>
      </c>
      <c r="D111" s="333">
        <v>0.04</v>
      </c>
      <c r="E111" s="104">
        <f>D111*E105</f>
        <v>0.21555999999999997</v>
      </c>
      <c r="F111" s="141"/>
      <c r="G111" s="127">
        <f>F111*E111</f>
        <v>0</v>
      </c>
      <c r="H111" s="104"/>
      <c r="I111" s="127"/>
      <c r="J111" s="104"/>
      <c r="K111" s="127"/>
      <c r="L111" s="127">
        <f t="shared" si="3"/>
        <v>0</v>
      </c>
      <c r="M111" s="206"/>
      <c r="N111" s="206"/>
      <c r="O111" s="298"/>
      <c r="P111" s="206"/>
      <c r="Q111" s="206"/>
    </row>
    <row r="112" spans="1:17" s="11" customFormat="1">
      <c r="A112" s="170"/>
      <c r="B112" s="55" t="s">
        <v>54</v>
      </c>
      <c r="C112" s="332" t="s">
        <v>2</v>
      </c>
      <c r="D112" s="226">
        <v>0.65600000000000003</v>
      </c>
      <c r="E112" s="104">
        <f>D112*E105</f>
        <v>3.5351839999999997</v>
      </c>
      <c r="F112" s="104"/>
      <c r="G112" s="73">
        <f>F112*E112</f>
        <v>0</v>
      </c>
      <c r="H112" s="125"/>
      <c r="I112" s="73"/>
      <c r="J112" s="125"/>
      <c r="K112" s="73"/>
      <c r="L112" s="73">
        <f t="shared" si="3"/>
        <v>0</v>
      </c>
      <c r="M112" s="46"/>
      <c r="N112" s="206"/>
      <c r="O112" s="298"/>
      <c r="P112" s="46"/>
      <c r="Q112" s="46"/>
    </row>
    <row r="113" spans="1:24" s="302" customFormat="1" ht="27">
      <c r="A113" s="501">
        <v>26</v>
      </c>
      <c r="B113" s="339" t="s">
        <v>213</v>
      </c>
      <c r="C113" s="347" t="s">
        <v>51</v>
      </c>
      <c r="D113" s="502"/>
      <c r="E113" s="473">
        <f>30.8*0.84/1000</f>
        <v>2.5871999999999999E-2</v>
      </c>
      <c r="F113" s="473"/>
      <c r="G113" s="503"/>
      <c r="H113" s="473"/>
      <c r="I113" s="503"/>
      <c r="J113" s="473"/>
      <c r="K113" s="503"/>
      <c r="L113" s="503"/>
      <c r="O113" s="355"/>
    </row>
    <row r="114" spans="1:24" s="82" customFormat="1" ht="15.75">
      <c r="A114" s="332"/>
      <c r="B114" s="121" t="s">
        <v>45</v>
      </c>
      <c r="C114" s="630" t="s">
        <v>150</v>
      </c>
      <c r="D114" s="123"/>
      <c r="E114" s="124">
        <v>2.42</v>
      </c>
      <c r="F114" s="125"/>
      <c r="G114" s="73"/>
      <c r="H114" s="125"/>
      <c r="I114" s="73">
        <f>H114*E114</f>
        <v>0</v>
      </c>
      <c r="J114" s="125"/>
      <c r="K114" s="73"/>
      <c r="L114" s="73">
        <f>K114+I114+G114</f>
        <v>0</v>
      </c>
      <c r="M114" s="309"/>
      <c r="N114" s="206"/>
      <c r="O114" s="298"/>
      <c r="P114" s="309"/>
      <c r="Q114" s="309"/>
    </row>
    <row r="115" spans="1:24" s="1" customFormat="1" ht="15">
      <c r="A115" s="742"/>
      <c r="B115" s="743" t="s">
        <v>53</v>
      </c>
      <c r="C115" s="744" t="s">
        <v>2</v>
      </c>
      <c r="D115" s="766">
        <v>4.07</v>
      </c>
      <c r="E115" s="767">
        <f>D115*E113</f>
        <v>0.10529904000000001</v>
      </c>
      <c r="F115" s="742"/>
      <c r="G115" s="742"/>
      <c r="H115" s="742"/>
      <c r="I115" s="742"/>
      <c r="J115" s="746"/>
      <c r="K115" s="746">
        <f>E115*J115</f>
        <v>0</v>
      </c>
      <c r="L115" s="746">
        <f>K115+I115+G115</f>
        <v>0</v>
      </c>
      <c r="M115" s="391"/>
      <c r="N115" s="391"/>
      <c r="O115" s="391"/>
      <c r="P115" s="391"/>
      <c r="Q115" s="391"/>
      <c r="R115" s="391"/>
      <c r="S115" s="391"/>
    </row>
    <row r="116" spans="1:24" s="301" customFormat="1">
      <c r="A116" s="779"/>
      <c r="B116" s="751" t="s">
        <v>400</v>
      </c>
      <c r="C116" s="742" t="s">
        <v>69</v>
      </c>
      <c r="D116" s="780"/>
      <c r="E116" s="794">
        <v>33</v>
      </c>
      <c r="F116" s="753"/>
      <c r="G116" s="73">
        <f>F116*E116</f>
        <v>0</v>
      </c>
      <c r="H116" s="125"/>
      <c r="I116" s="73"/>
      <c r="J116" s="125"/>
      <c r="K116" s="73"/>
      <c r="L116" s="73">
        <f>K116+I116+G116</f>
        <v>0</v>
      </c>
      <c r="O116" s="298"/>
    </row>
    <row r="117" spans="1:24" s="301" customFormat="1">
      <c r="A117" s="779"/>
      <c r="B117" s="751" t="s">
        <v>59</v>
      </c>
      <c r="C117" s="742" t="s">
        <v>60</v>
      </c>
      <c r="D117" s="780">
        <v>200</v>
      </c>
      <c r="E117" s="794">
        <f>D117*E113</f>
        <v>5.1743999999999994</v>
      </c>
      <c r="F117" s="753"/>
      <c r="G117" s="73">
        <f>F117*E117</f>
        <v>0</v>
      </c>
      <c r="H117" s="125"/>
      <c r="I117" s="73"/>
      <c r="J117" s="125"/>
      <c r="K117" s="73"/>
      <c r="L117" s="73">
        <f>K117+I117+G117</f>
        <v>0</v>
      </c>
      <c r="O117" s="298"/>
    </row>
    <row r="118" spans="1:24" s="11" customFormat="1">
      <c r="A118" s="170"/>
      <c r="B118" s="55" t="s">
        <v>54</v>
      </c>
      <c r="C118" s="971" t="s">
        <v>2</v>
      </c>
      <c r="D118" s="226">
        <v>2.78</v>
      </c>
      <c r="E118" s="104">
        <f>D118*E113</f>
        <v>7.1924159999999987E-2</v>
      </c>
      <c r="F118" s="104"/>
      <c r="G118" s="73">
        <f>F118*E118</f>
        <v>0</v>
      </c>
      <c r="H118" s="125"/>
      <c r="I118" s="73"/>
      <c r="J118" s="125"/>
      <c r="K118" s="73"/>
      <c r="L118" s="73">
        <f t="shared" ref="L118" si="4">K118+I118+G118</f>
        <v>0</v>
      </c>
      <c r="M118" s="46"/>
      <c r="N118" s="206"/>
      <c r="O118" s="298"/>
      <c r="P118" s="46"/>
      <c r="Q118" s="46"/>
    </row>
    <row r="119" spans="1:24" s="1" customFormat="1" ht="40.5">
      <c r="A119" s="738">
        <v>27</v>
      </c>
      <c r="B119" s="804" t="s">
        <v>141</v>
      </c>
      <c r="C119" s="738" t="s">
        <v>52</v>
      </c>
      <c r="D119" s="805"/>
      <c r="E119" s="473">
        <f>30.8*0.02*4</f>
        <v>2.464</v>
      </c>
      <c r="F119" s="741"/>
      <c r="G119" s="769"/>
      <c r="H119" s="741"/>
      <c r="I119" s="769"/>
      <c r="J119" s="741"/>
      <c r="K119" s="769"/>
      <c r="L119" s="769"/>
      <c r="M119" s="391"/>
      <c r="N119" s="391"/>
      <c r="O119" s="391"/>
      <c r="P119" s="391"/>
      <c r="Q119" s="391"/>
      <c r="R119" s="391"/>
      <c r="S119" s="391"/>
    </row>
    <row r="120" spans="1:24" s="1" customFormat="1" ht="15.75">
      <c r="A120" s="742"/>
      <c r="B120" s="743" t="s">
        <v>45</v>
      </c>
      <c r="C120" s="742" t="s">
        <v>150</v>
      </c>
      <c r="D120" s="744">
        <v>1</v>
      </c>
      <c r="E120" s="744">
        <f>D120*E119</f>
        <v>2.464</v>
      </c>
      <c r="F120" s="742"/>
      <c r="G120" s="742"/>
      <c r="H120" s="746"/>
      <c r="I120" s="746">
        <f>H120*E120</f>
        <v>0</v>
      </c>
      <c r="J120" s="742"/>
      <c r="K120" s="746"/>
      <c r="L120" s="746">
        <f>K120+I120+G120</f>
        <v>0</v>
      </c>
      <c r="M120" s="275"/>
      <c r="N120" s="197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</row>
    <row r="121" spans="1:24" s="1" customFormat="1" ht="15">
      <c r="A121" s="742"/>
      <c r="B121" s="743" t="s">
        <v>53</v>
      </c>
      <c r="C121" s="744" t="s">
        <v>2</v>
      </c>
      <c r="D121" s="766">
        <v>2.9999999999999997E-4</v>
      </c>
      <c r="E121" s="767">
        <f>D121*E119</f>
        <v>7.3919999999999997E-4</v>
      </c>
      <c r="F121" s="742"/>
      <c r="G121" s="742"/>
      <c r="H121" s="742"/>
      <c r="I121" s="742"/>
      <c r="J121" s="746"/>
      <c r="K121" s="746">
        <f>E121*J121</f>
        <v>0</v>
      </c>
      <c r="L121" s="746">
        <f>K121+I121+G121</f>
        <v>0</v>
      </c>
      <c r="M121" s="391"/>
      <c r="N121" s="391"/>
      <c r="O121" s="391"/>
      <c r="P121" s="391"/>
      <c r="Q121" s="391"/>
      <c r="R121" s="391"/>
      <c r="S121" s="391"/>
    </row>
    <row r="122" spans="1:24" s="1" customFormat="1" ht="27">
      <c r="A122" s="742"/>
      <c r="B122" s="55" t="s">
        <v>383</v>
      </c>
      <c r="C122" s="800" t="s">
        <v>60</v>
      </c>
      <c r="D122" s="317">
        <f>(25.1+0.2+2.7)*0.01</f>
        <v>0.28000000000000003</v>
      </c>
      <c r="E122" s="1047">
        <f>D122*E119</f>
        <v>0.68992000000000009</v>
      </c>
      <c r="F122" s="746"/>
      <c r="G122" s="746">
        <f>F122*E122</f>
        <v>0</v>
      </c>
      <c r="H122" s="746"/>
      <c r="I122" s="749"/>
      <c r="J122" s="746"/>
      <c r="K122" s="749"/>
      <c r="L122" s="746">
        <f>K122+I122+G122</f>
        <v>0</v>
      </c>
      <c r="M122" s="391"/>
      <c r="N122" s="391"/>
      <c r="O122" s="391"/>
      <c r="P122" s="391"/>
      <c r="Q122" s="391"/>
      <c r="R122" s="391"/>
      <c r="S122" s="391"/>
    </row>
    <row r="123" spans="1:24" s="391" customFormat="1" ht="21.95" customHeight="1">
      <c r="A123" s="742"/>
      <c r="B123" s="763" t="s">
        <v>73</v>
      </c>
      <c r="C123" s="801" t="s">
        <v>60</v>
      </c>
      <c r="D123" s="802">
        <v>0.15</v>
      </c>
      <c r="E123" s="803">
        <f>D123*E119</f>
        <v>0.36959999999999998</v>
      </c>
      <c r="F123" s="746"/>
      <c r="G123" s="746">
        <f>F123*E123</f>
        <v>0</v>
      </c>
      <c r="H123" s="742"/>
      <c r="I123" s="746"/>
      <c r="J123" s="742"/>
      <c r="K123" s="742"/>
      <c r="L123" s="746">
        <f>K123+I123+G123</f>
        <v>0</v>
      </c>
    </row>
    <row r="124" spans="1:24" s="1" customFormat="1" ht="15">
      <c r="A124" s="742"/>
      <c r="B124" s="743" t="s">
        <v>54</v>
      </c>
      <c r="C124" s="744" t="s">
        <v>2</v>
      </c>
      <c r="D124" s="766">
        <v>1.9E-3</v>
      </c>
      <c r="E124" s="792">
        <f>D124*E119</f>
        <v>4.6816000000000002E-3</v>
      </c>
      <c r="F124" s="746"/>
      <c r="G124" s="746">
        <f>F124*E124</f>
        <v>0</v>
      </c>
      <c r="H124" s="742"/>
      <c r="I124" s="742"/>
      <c r="J124" s="742"/>
      <c r="K124" s="742"/>
      <c r="L124" s="746">
        <f>K124+I124+G124</f>
        <v>0</v>
      </c>
      <c r="M124" s="391"/>
      <c r="N124" s="391"/>
      <c r="O124" s="391"/>
      <c r="P124" s="391"/>
      <c r="Q124" s="391"/>
      <c r="R124" s="391"/>
      <c r="S124" s="391"/>
    </row>
    <row r="125" spans="1:24" s="11" customFormat="1" ht="32.450000000000003" customHeight="1">
      <c r="A125" s="472">
        <v>28</v>
      </c>
      <c r="B125" s="346" t="s">
        <v>275</v>
      </c>
      <c r="C125" s="347" t="s">
        <v>160</v>
      </c>
      <c r="D125" s="484"/>
      <c r="E125" s="475">
        <f>0.8*2.2</f>
        <v>1.7600000000000002</v>
      </c>
      <c r="F125" s="485"/>
      <c r="G125" s="486"/>
      <c r="H125" s="485"/>
      <c r="I125" s="486"/>
      <c r="J125" s="485"/>
      <c r="K125" s="486"/>
      <c r="L125" s="486"/>
      <c r="M125" s="46"/>
      <c r="N125" s="206"/>
      <c r="O125" s="298"/>
      <c r="P125" s="46"/>
      <c r="Q125" s="46"/>
    </row>
    <row r="126" spans="1:24" s="77" customFormat="1">
      <c r="A126" s="170"/>
      <c r="B126" s="121" t="s">
        <v>76</v>
      </c>
      <c r="C126" s="886" t="s">
        <v>65</v>
      </c>
      <c r="D126" s="631"/>
      <c r="E126" s="104">
        <v>1</v>
      </c>
      <c r="F126" s="141"/>
      <c r="G126" s="145"/>
      <c r="H126" s="141"/>
      <c r="I126" s="145">
        <f>H126*E126</f>
        <v>0</v>
      </c>
      <c r="J126" s="141"/>
      <c r="K126" s="145"/>
      <c r="L126" s="145">
        <f>K126+I126+G126</f>
        <v>0</v>
      </c>
      <c r="M126" s="206"/>
      <c r="N126" s="206"/>
      <c r="O126" s="298"/>
      <c r="P126" s="206"/>
      <c r="Q126" s="206"/>
    </row>
    <row r="127" spans="1:24" s="77" customFormat="1">
      <c r="A127" s="149"/>
      <c r="B127" s="121" t="s">
        <v>53</v>
      </c>
      <c r="C127" s="630" t="s">
        <v>2</v>
      </c>
      <c r="D127" s="631">
        <v>0.13</v>
      </c>
      <c r="E127" s="104">
        <f>D127*E125</f>
        <v>0.22880000000000003</v>
      </c>
      <c r="F127" s="143"/>
      <c r="G127" s="144"/>
      <c r="H127" s="179"/>
      <c r="I127" s="142"/>
      <c r="J127" s="179"/>
      <c r="K127" s="142">
        <f>E127*J127</f>
        <v>0</v>
      </c>
      <c r="L127" s="142">
        <f>K127+I127+G127</f>
        <v>0</v>
      </c>
      <c r="M127" s="206"/>
      <c r="N127" s="265"/>
      <c r="O127" s="298"/>
      <c r="P127" s="206"/>
      <c r="Q127" s="206"/>
    </row>
    <row r="128" spans="1:24" s="11" customFormat="1" ht="31.15" customHeight="1">
      <c r="A128" s="170"/>
      <c r="B128" s="181" t="s">
        <v>455</v>
      </c>
      <c r="C128" s="630" t="s">
        <v>104</v>
      </c>
      <c r="D128" s="226"/>
      <c r="E128" s="104">
        <v>1</v>
      </c>
      <c r="F128" s="141"/>
      <c r="G128" s="145">
        <f>E128*F128</f>
        <v>0</v>
      </c>
      <c r="H128" s="141"/>
      <c r="I128" s="145"/>
      <c r="J128" s="141"/>
      <c r="K128" s="145"/>
      <c r="L128" s="145">
        <f>K128+I128+G128</f>
        <v>0</v>
      </c>
      <c r="M128" s="46"/>
      <c r="N128" s="197"/>
      <c r="O128" s="298"/>
      <c r="P128" s="46"/>
      <c r="Q128" s="46"/>
    </row>
    <row r="129" spans="1:17" s="77" customFormat="1" ht="15">
      <c r="A129" s="149"/>
      <c r="B129" s="121" t="s">
        <v>54</v>
      </c>
      <c r="C129" s="122" t="s">
        <v>2</v>
      </c>
      <c r="D129" s="631">
        <v>2.06E-2</v>
      </c>
      <c r="E129" s="104">
        <f>D129*E125</f>
        <v>3.6256000000000004E-2</v>
      </c>
      <c r="F129" s="179"/>
      <c r="G129" s="142">
        <f>E129*F129</f>
        <v>0</v>
      </c>
      <c r="H129" s="179"/>
      <c r="I129" s="142"/>
      <c r="J129" s="179"/>
      <c r="K129" s="142"/>
      <c r="L129" s="142">
        <f>K129+I129+G129</f>
        <v>0</v>
      </c>
      <c r="M129" s="206"/>
      <c r="N129" s="197"/>
      <c r="O129" s="298"/>
      <c r="P129" s="206"/>
      <c r="Q129" s="206"/>
    </row>
    <row r="130" spans="1:17" s="12" customFormat="1" ht="27">
      <c r="A130" s="1054">
        <v>29</v>
      </c>
      <c r="B130" s="758" t="s">
        <v>280</v>
      </c>
      <c r="C130" s="738" t="s">
        <v>160</v>
      </c>
      <c r="D130" s="757"/>
      <c r="E130" s="788">
        <f>0.4*0.4</f>
        <v>0.16000000000000003</v>
      </c>
      <c r="F130" s="741"/>
      <c r="G130" s="741"/>
      <c r="H130" s="741"/>
      <c r="I130" s="741"/>
      <c r="J130" s="741"/>
      <c r="K130" s="741"/>
      <c r="L130" s="741"/>
    </row>
    <row r="131" spans="1:17" s="789" customFormat="1" ht="15" customHeight="1">
      <c r="A131" s="742"/>
      <c r="B131" s="743" t="s">
        <v>45</v>
      </c>
      <c r="C131" s="742" t="s">
        <v>150</v>
      </c>
      <c r="D131" s="744">
        <v>1.1100000000000001</v>
      </c>
      <c r="E131" s="745">
        <f>D131*E130</f>
        <v>0.17760000000000006</v>
      </c>
      <c r="F131" s="746"/>
      <c r="G131" s="746"/>
      <c r="H131" s="746"/>
      <c r="I131" s="746">
        <f>H131*E131</f>
        <v>0</v>
      </c>
      <c r="J131" s="746"/>
      <c r="K131" s="746"/>
      <c r="L131" s="746">
        <f>K131+I131+G131</f>
        <v>0</v>
      </c>
    </row>
    <row r="132" spans="1:17" s="790" customFormat="1" ht="15" customHeight="1">
      <c r="A132" s="742"/>
      <c r="B132" s="743" t="s">
        <v>48</v>
      </c>
      <c r="C132" s="744" t="s">
        <v>2</v>
      </c>
      <c r="D132" s="766">
        <v>0.51600000000000001</v>
      </c>
      <c r="E132" s="767">
        <f>D132*E130</f>
        <v>8.2560000000000022E-2</v>
      </c>
      <c r="F132" s="746"/>
      <c r="G132" s="746"/>
      <c r="H132" s="746"/>
      <c r="I132" s="746"/>
      <c r="J132" s="746"/>
      <c r="K132" s="746">
        <f>E132*J132</f>
        <v>0</v>
      </c>
      <c r="L132" s="746">
        <f>K132+I132+G132</f>
        <v>0</v>
      </c>
    </row>
    <row r="133" spans="1:17" s="63" customFormat="1" ht="15.75">
      <c r="A133" s="787"/>
      <c r="B133" s="791" t="s">
        <v>281</v>
      </c>
      <c r="C133" s="742" t="s">
        <v>150</v>
      </c>
      <c r="D133" s="744">
        <v>1</v>
      </c>
      <c r="E133" s="745">
        <f>D133*E130</f>
        <v>0.16000000000000003</v>
      </c>
      <c r="F133" s="746"/>
      <c r="G133" s="746">
        <f>F133*E133</f>
        <v>0</v>
      </c>
      <c r="H133" s="765"/>
      <c r="I133" s="763"/>
      <c r="J133" s="765"/>
      <c r="K133" s="763"/>
      <c r="L133" s="746">
        <f>K133+I133+G133</f>
        <v>0</v>
      </c>
    </row>
    <row r="134" spans="1:17" s="433" customFormat="1" ht="15">
      <c r="A134" s="750"/>
      <c r="B134" s="763" t="s">
        <v>61</v>
      </c>
      <c r="C134" s="750" t="s">
        <v>60</v>
      </c>
      <c r="D134" s="750">
        <v>0.06</v>
      </c>
      <c r="E134" s="781">
        <f>D134*E130</f>
        <v>9.6000000000000009E-3</v>
      </c>
      <c r="F134" s="742"/>
      <c r="G134" s="756">
        <f>F134*E134</f>
        <v>0</v>
      </c>
      <c r="H134" s="742"/>
      <c r="I134" s="742"/>
      <c r="J134" s="742"/>
      <c r="K134" s="742"/>
      <c r="L134" s="756">
        <f>K134+I134+G134</f>
        <v>0</v>
      </c>
    </row>
    <row r="135" spans="1:17">
      <c r="A135" s="750"/>
      <c r="B135" s="763" t="s">
        <v>54</v>
      </c>
      <c r="C135" s="744" t="s">
        <v>2</v>
      </c>
      <c r="D135" s="756">
        <v>5.3999999999999999E-2</v>
      </c>
      <c r="E135" s="750">
        <f>D135*E130</f>
        <v>8.6400000000000018E-3</v>
      </c>
      <c r="F135" s="750"/>
      <c r="G135" s="746">
        <f>F135*E135</f>
        <v>0</v>
      </c>
      <c r="H135" s="746"/>
      <c r="I135" s="746"/>
      <c r="J135" s="746"/>
      <c r="K135" s="746"/>
      <c r="L135" s="746">
        <f>K135+I135+G135</f>
        <v>0</v>
      </c>
    </row>
    <row r="136" spans="1:17" s="77" customFormat="1" ht="40.5">
      <c r="A136" s="472">
        <v>30</v>
      </c>
      <c r="B136" s="339" t="s">
        <v>353</v>
      </c>
      <c r="C136" s="347" t="s">
        <v>160</v>
      </c>
      <c r="D136" s="474"/>
      <c r="E136" s="475">
        <v>15.62</v>
      </c>
      <c r="F136" s="476"/>
      <c r="G136" s="477"/>
      <c r="H136" s="476"/>
      <c r="I136" s="477"/>
      <c r="J136" s="476"/>
      <c r="K136" s="477"/>
      <c r="L136" s="477"/>
      <c r="M136" s="206"/>
      <c r="N136" s="206"/>
      <c r="O136" s="298"/>
      <c r="P136" s="206"/>
      <c r="Q136" s="206"/>
    </row>
    <row r="137" spans="1:17" s="77" customFormat="1" ht="15.75">
      <c r="A137" s="117"/>
      <c r="B137" s="121" t="s">
        <v>76</v>
      </c>
      <c r="C137" s="630" t="s">
        <v>165</v>
      </c>
      <c r="D137" s="118">
        <v>1</v>
      </c>
      <c r="E137" s="124">
        <f>D137*E136</f>
        <v>15.62</v>
      </c>
      <c r="F137" s="135"/>
      <c r="G137" s="136"/>
      <c r="H137" s="291"/>
      <c r="I137" s="127">
        <f>H137*E137</f>
        <v>0</v>
      </c>
      <c r="J137" s="135"/>
      <c r="K137" s="136"/>
      <c r="L137" s="127">
        <f t="shared" ref="L137:L143" si="5">K137+I137+G137</f>
        <v>0</v>
      </c>
      <c r="M137" s="206"/>
      <c r="N137" s="206"/>
      <c r="O137" s="298"/>
      <c r="P137" s="206"/>
      <c r="Q137" s="206"/>
    </row>
    <row r="138" spans="1:17" s="77" customFormat="1">
      <c r="A138" s="117"/>
      <c r="B138" s="121" t="s">
        <v>53</v>
      </c>
      <c r="C138" s="630" t="s">
        <v>70</v>
      </c>
      <c r="D138" s="631">
        <v>0.02</v>
      </c>
      <c r="E138" s="104">
        <f>D138*E136</f>
        <v>0.31240000000000001</v>
      </c>
      <c r="F138" s="178"/>
      <c r="G138" s="136"/>
      <c r="H138" s="104"/>
      <c r="I138" s="136"/>
      <c r="J138" s="104"/>
      <c r="K138" s="127">
        <f>J138*E138</f>
        <v>0</v>
      </c>
      <c r="L138" s="127">
        <f t="shared" si="5"/>
        <v>0</v>
      </c>
      <c r="M138" s="206"/>
      <c r="N138" s="52"/>
      <c r="O138" s="298"/>
      <c r="P138" s="206"/>
      <c r="Q138" s="206"/>
    </row>
    <row r="139" spans="1:17" s="77" customFormat="1" ht="26.25">
      <c r="A139" s="117"/>
      <c r="B139" s="121" t="s">
        <v>452</v>
      </c>
      <c r="C139" s="630" t="s">
        <v>165</v>
      </c>
      <c r="D139" s="631">
        <v>1.02</v>
      </c>
      <c r="E139" s="104">
        <v>3.14</v>
      </c>
      <c r="F139" s="104"/>
      <c r="G139" s="127">
        <f>F139*E139</f>
        <v>0</v>
      </c>
      <c r="H139" s="104"/>
      <c r="I139" s="136"/>
      <c r="J139" s="135"/>
      <c r="K139" s="136"/>
      <c r="L139" s="127">
        <f t="shared" si="5"/>
        <v>0</v>
      </c>
      <c r="M139" s="206"/>
      <c r="N139" s="206"/>
      <c r="O139" s="298"/>
      <c r="P139" s="206"/>
      <c r="Q139" s="206"/>
    </row>
    <row r="140" spans="1:17" s="77" customFormat="1" ht="39">
      <c r="A140" s="117"/>
      <c r="B140" s="121" t="s">
        <v>454</v>
      </c>
      <c r="C140" s="1017" t="s">
        <v>165</v>
      </c>
      <c r="D140" s="631">
        <v>1.02</v>
      </c>
      <c r="E140" s="104">
        <f>D140*E137-E139</f>
        <v>12.792399999999999</v>
      </c>
      <c r="F140" s="104"/>
      <c r="G140" s="127">
        <f>F140*E140</f>
        <v>0</v>
      </c>
      <c r="H140" s="104"/>
      <c r="I140" s="136"/>
      <c r="J140" s="135"/>
      <c r="K140" s="136"/>
      <c r="L140" s="127">
        <f t="shared" ref="L140" si="6">K140+I140+G140</f>
        <v>0</v>
      </c>
      <c r="M140" s="206"/>
      <c r="N140" s="206"/>
      <c r="O140" s="298"/>
      <c r="P140" s="206"/>
      <c r="Q140" s="206"/>
    </row>
    <row r="141" spans="1:17" s="77" customFormat="1">
      <c r="A141" s="117"/>
      <c r="B141" s="176" t="s">
        <v>87</v>
      </c>
      <c r="C141" s="165" t="s">
        <v>60</v>
      </c>
      <c r="D141" s="631">
        <v>6.25</v>
      </c>
      <c r="E141" s="104">
        <f>D141*E136</f>
        <v>97.625</v>
      </c>
      <c r="F141" s="125"/>
      <c r="G141" s="127">
        <f>F141*E141</f>
        <v>0</v>
      </c>
      <c r="H141" s="104"/>
      <c r="I141" s="136"/>
      <c r="J141" s="135"/>
      <c r="K141" s="136"/>
      <c r="L141" s="127">
        <f t="shared" si="5"/>
        <v>0</v>
      </c>
      <c r="M141" s="206"/>
      <c r="N141" s="206"/>
      <c r="O141" s="298"/>
      <c r="P141" s="206"/>
      <c r="Q141" s="206"/>
    </row>
    <row r="142" spans="1:17" s="77" customFormat="1">
      <c r="A142" s="117"/>
      <c r="B142" s="176" t="s">
        <v>88</v>
      </c>
      <c r="C142" s="165" t="s">
        <v>60</v>
      </c>
      <c r="D142" s="631">
        <v>0.2</v>
      </c>
      <c r="E142" s="104">
        <f>D142*E136</f>
        <v>3.1240000000000001</v>
      </c>
      <c r="F142" s="125"/>
      <c r="G142" s="127">
        <f>F142*E142</f>
        <v>0</v>
      </c>
      <c r="H142" s="104"/>
      <c r="I142" s="136"/>
      <c r="J142" s="135"/>
      <c r="K142" s="136"/>
      <c r="L142" s="127">
        <f t="shared" si="5"/>
        <v>0</v>
      </c>
      <c r="M142" s="206"/>
      <c r="N142" s="206"/>
      <c r="O142" s="298"/>
      <c r="P142" s="206"/>
      <c r="Q142" s="206"/>
    </row>
    <row r="143" spans="1:17" s="77" customFormat="1">
      <c r="A143" s="117"/>
      <c r="B143" s="121" t="s">
        <v>54</v>
      </c>
      <c r="C143" s="630" t="s">
        <v>70</v>
      </c>
      <c r="D143" s="631">
        <v>7.0000000000000001E-3</v>
      </c>
      <c r="E143" s="104">
        <f>D143*E136</f>
        <v>0.10933999999999999</v>
      </c>
      <c r="F143" s="104"/>
      <c r="G143" s="127">
        <f>F143*E143</f>
        <v>0</v>
      </c>
      <c r="H143" s="104"/>
      <c r="I143" s="136"/>
      <c r="J143" s="135"/>
      <c r="K143" s="136"/>
      <c r="L143" s="127">
        <f t="shared" si="5"/>
        <v>0</v>
      </c>
      <c r="M143" s="206"/>
      <c r="N143" s="206"/>
      <c r="O143" s="298"/>
      <c r="P143" s="206"/>
      <c r="Q143" s="206"/>
    </row>
    <row r="144" spans="1:17" s="79" customFormat="1" ht="40.5">
      <c r="A144" s="347">
        <v>31</v>
      </c>
      <c r="B144" s="350" t="s">
        <v>412</v>
      </c>
      <c r="C144" s="347" t="s">
        <v>160</v>
      </c>
      <c r="D144" s="351"/>
      <c r="E144" s="352">
        <f>1.7*1.1</f>
        <v>1.87</v>
      </c>
      <c r="F144" s="353"/>
      <c r="G144" s="354"/>
      <c r="H144" s="353"/>
      <c r="I144" s="354"/>
      <c r="J144" s="353"/>
      <c r="K144" s="354"/>
      <c r="L144" s="354"/>
      <c r="M144" s="306"/>
      <c r="N144" s="206"/>
      <c r="O144" s="298"/>
      <c r="P144" s="306"/>
      <c r="Q144" s="306"/>
    </row>
    <row r="145" spans="1:17" s="77" customFormat="1">
      <c r="A145" s="971"/>
      <c r="B145" s="121" t="s">
        <v>45</v>
      </c>
      <c r="C145" s="971" t="s">
        <v>46</v>
      </c>
      <c r="D145" s="123">
        <v>3.14</v>
      </c>
      <c r="E145" s="124">
        <f>D145*E144</f>
        <v>5.8718000000000004</v>
      </c>
      <c r="F145" s="125"/>
      <c r="G145" s="73"/>
      <c r="H145" s="125"/>
      <c r="I145" s="73">
        <f>H145*E145</f>
        <v>0</v>
      </c>
      <c r="J145" s="125"/>
      <c r="K145" s="73"/>
      <c r="L145" s="73">
        <f t="shared" ref="L145:L156" si="7">K145+I145+G145</f>
        <v>0</v>
      </c>
      <c r="M145" s="206"/>
      <c r="N145" s="206"/>
      <c r="O145" s="298"/>
      <c r="P145" s="206"/>
      <c r="Q145" s="206"/>
    </row>
    <row r="146" spans="1:17" s="77" customFormat="1">
      <c r="A146" s="173"/>
      <c r="B146" s="55" t="s">
        <v>53</v>
      </c>
      <c r="C146" s="151" t="s">
        <v>2</v>
      </c>
      <c r="D146" s="123">
        <v>0.106</v>
      </c>
      <c r="E146" s="174">
        <f>D146*E144</f>
        <v>0.19822000000000001</v>
      </c>
      <c r="F146" s="174"/>
      <c r="G146" s="175"/>
      <c r="H146" s="174"/>
      <c r="I146" s="175"/>
      <c r="J146" s="174"/>
      <c r="K146" s="175">
        <f>J146*E146</f>
        <v>0</v>
      </c>
      <c r="L146" s="175">
        <f t="shared" si="7"/>
        <v>0</v>
      </c>
      <c r="M146" s="206"/>
      <c r="N146" s="206"/>
      <c r="O146" s="298"/>
      <c r="P146" s="206"/>
      <c r="Q146" s="206"/>
    </row>
    <row r="147" spans="1:17" s="77" customFormat="1" ht="25.5">
      <c r="A147" s="971"/>
      <c r="B147" s="176" t="s">
        <v>164</v>
      </c>
      <c r="C147" s="122" t="s">
        <v>69</v>
      </c>
      <c r="D147" s="133">
        <v>2.9</v>
      </c>
      <c r="E147" s="134">
        <f>D147*E144</f>
        <v>5.423</v>
      </c>
      <c r="F147" s="125"/>
      <c r="G147" s="73">
        <f t="shared" ref="G147:G152" si="8">F147*E147</f>
        <v>0</v>
      </c>
      <c r="H147" s="125"/>
      <c r="I147" s="73"/>
      <c r="J147" s="125"/>
      <c r="K147" s="73"/>
      <c r="L147" s="73">
        <f t="shared" si="7"/>
        <v>0</v>
      </c>
      <c r="M147" s="206"/>
      <c r="N147" s="206"/>
      <c r="O147" s="298"/>
      <c r="P147" s="206"/>
      <c r="Q147" s="206"/>
    </row>
    <row r="148" spans="1:17" s="77" customFormat="1" ht="38.25">
      <c r="A148" s="173"/>
      <c r="B148" s="176" t="s">
        <v>79</v>
      </c>
      <c r="C148" s="171" t="s">
        <v>69</v>
      </c>
      <c r="D148" s="277"/>
      <c r="E148" s="103">
        <v>5.6</v>
      </c>
      <c r="F148" s="103"/>
      <c r="G148" s="140">
        <f t="shared" si="8"/>
        <v>0</v>
      </c>
      <c r="H148" s="102"/>
      <c r="I148" s="172"/>
      <c r="J148" s="102"/>
      <c r="K148" s="172"/>
      <c r="L148" s="172">
        <f t="shared" si="7"/>
        <v>0</v>
      </c>
      <c r="M148" s="206"/>
      <c r="N148" s="206"/>
      <c r="O148" s="298"/>
      <c r="P148" s="206"/>
      <c r="Q148" s="206"/>
    </row>
    <row r="149" spans="1:17" s="77" customFormat="1">
      <c r="A149" s="971"/>
      <c r="B149" s="121" t="s">
        <v>80</v>
      </c>
      <c r="C149" s="971" t="s">
        <v>65</v>
      </c>
      <c r="D149" s="133">
        <v>0.7</v>
      </c>
      <c r="E149" s="134">
        <f>D149*E144</f>
        <v>1.3089999999999999</v>
      </c>
      <c r="F149" s="125"/>
      <c r="G149" s="73">
        <f t="shared" si="8"/>
        <v>0</v>
      </c>
      <c r="H149" s="125"/>
      <c r="I149" s="73"/>
      <c r="J149" s="125"/>
      <c r="K149" s="73"/>
      <c r="L149" s="73">
        <f t="shared" si="7"/>
        <v>0</v>
      </c>
      <c r="M149" s="206"/>
      <c r="N149" s="206"/>
      <c r="O149" s="298"/>
      <c r="P149" s="206"/>
      <c r="Q149" s="206"/>
    </row>
    <row r="150" spans="1:17" s="77" customFormat="1">
      <c r="A150" s="167"/>
      <c r="B150" s="139" t="s">
        <v>81</v>
      </c>
      <c r="C150" s="171" t="s">
        <v>65</v>
      </c>
      <c r="D150" s="277">
        <v>0.7</v>
      </c>
      <c r="E150" s="103">
        <f>D150*E144</f>
        <v>1.3089999999999999</v>
      </c>
      <c r="F150" s="103"/>
      <c r="G150" s="140">
        <f t="shared" si="8"/>
        <v>0</v>
      </c>
      <c r="H150" s="102"/>
      <c r="I150" s="172"/>
      <c r="J150" s="102"/>
      <c r="K150" s="172"/>
      <c r="L150" s="172">
        <f t="shared" si="7"/>
        <v>0</v>
      </c>
      <c r="M150" s="206"/>
      <c r="N150" s="206"/>
      <c r="O150" s="298"/>
      <c r="P150" s="206"/>
      <c r="Q150" s="206"/>
    </row>
    <row r="151" spans="1:17" s="77" customFormat="1">
      <c r="A151" s="971"/>
      <c r="B151" s="121" t="s">
        <v>82</v>
      </c>
      <c r="C151" s="971" t="s">
        <v>65</v>
      </c>
      <c r="D151" s="123">
        <v>0.7</v>
      </c>
      <c r="E151" s="124">
        <f>D151*E144</f>
        <v>1.3089999999999999</v>
      </c>
      <c r="F151" s="103"/>
      <c r="G151" s="73">
        <f t="shared" si="8"/>
        <v>0</v>
      </c>
      <c r="H151" s="125"/>
      <c r="I151" s="73"/>
      <c r="J151" s="125"/>
      <c r="K151" s="73"/>
      <c r="L151" s="73">
        <f t="shared" si="7"/>
        <v>0</v>
      </c>
      <c r="M151" s="206"/>
      <c r="N151" s="206"/>
      <c r="O151" s="298"/>
      <c r="P151" s="206"/>
      <c r="Q151" s="206"/>
    </row>
    <row r="152" spans="1:17" s="77" customFormat="1" ht="25.5">
      <c r="A152" s="971"/>
      <c r="B152" s="139" t="s">
        <v>78</v>
      </c>
      <c r="C152" s="122" t="s">
        <v>69</v>
      </c>
      <c r="D152" s="123">
        <v>1.2</v>
      </c>
      <c r="E152" s="134">
        <f>D152*E144</f>
        <v>2.2440000000000002</v>
      </c>
      <c r="F152" s="103"/>
      <c r="G152" s="73">
        <f t="shared" si="8"/>
        <v>0</v>
      </c>
      <c r="H152" s="125"/>
      <c r="I152" s="73"/>
      <c r="J152" s="125"/>
      <c r="K152" s="73"/>
      <c r="L152" s="73">
        <f t="shared" si="7"/>
        <v>0</v>
      </c>
      <c r="M152" s="206"/>
      <c r="N152" s="206"/>
      <c r="O152" s="298"/>
      <c r="P152" s="206"/>
      <c r="Q152" s="206"/>
    </row>
    <row r="153" spans="1:17" s="77" customFormat="1" ht="38.25">
      <c r="A153" s="971"/>
      <c r="B153" s="139" t="s">
        <v>83</v>
      </c>
      <c r="C153" s="971" t="s">
        <v>150</v>
      </c>
      <c r="D153" s="133">
        <v>1.05</v>
      </c>
      <c r="E153" s="134">
        <f>D153*E144</f>
        <v>1.9635000000000002</v>
      </c>
      <c r="F153" s="103"/>
      <c r="G153" s="73">
        <f>F153*E153</f>
        <v>0</v>
      </c>
      <c r="H153" s="125"/>
      <c r="I153" s="73"/>
      <c r="J153" s="125"/>
      <c r="K153" s="73"/>
      <c r="L153" s="73">
        <f>K153+I153+G153</f>
        <v>0</v>
      </c>
      <c r="M153" s="206"/>
      <c r="N153" s="206"/>
      <c r="O153" s="298"/>
      <c r="P153" s="206"/>
      <c r="Q153" s="206"/>
    </row>
    <row r="154" spans="1:17" s="77" customFormat="1" ht="27" customHeight="1">
      <c r="A154" s="971"/>
      <c r="B154" s="139" t="s">
        <v>77</v>
      </c>
      <c r="C154" s="971" t="s">
        <v>65</v>
      </c>
      <c r="D154" s="123">
        <v>23</v>
      </c>
      <c r="E154" s="124">
        <f>D154*E144</f>
        <v>43.010000000000005</v>
      </c>
      <c r="F154" s="125"/>
      <c r="G154" s="73">
        <f>F154*E154</f>
        <v>0</v>
      </c>
      <c r="H154" s="125"/>
      <c r="I154" s="73"/>
      <c r="J154" s="125"/>
      <c r="K154" s="73"/>
      <c r="L154" s="73">
        <f>K154+I154+G154</f>
        <v>0</v>
      </c>
      <c r="M154" s="206"/>
      <c r="N154" s="206"/>
      <c r="O154" s="298"/>
      <c r="P154" s="206"/>
      <c r="Q154" s="206"/>
    </row>
    <row r="155" spans="1:17" s="77" customFormat="1" ht="25.5">
      <c r="A155" s="173"/>
      <c r="B155" s="139" t="s">
        <v>158</v>
      </c>
      <c r="C155" s="171" t="s">
        <v>60</v>
      </c>
      <c r="D155" s="277">
        <v>0.35</v>
      </c>
      <c r="E155" s="102">
        <f>D155*E144</f>
        <v>0.65449999999999997</v>
      </c>
      <c r="F155" s="103"/>
      <c r="G155" s="172">
        <f>F155*E155</f>
        <v>0</v>
      </c>
      <c r="H155" s="168"/>
      <c r="I155" s="169"/>
      <c r="J155" s="168"/>
      <c r="K155" s="169"/>
      <c r="L155" s="172">
        <f>K155+I155+G155</f>
        <v>0</v>
      </c>
      <c r="M155" s="206"/>
      <c r="N155" s="206"/>
      <c r="O155" s="298"/>
      <c r="P155" s="206"/>
      <c r="Q155" s="206"/>
    </row>
    <row r="156" spans="1:17" s="77" customFormat="1">
      <c r="A156" s="117"/>
      <c r="B156" s="121" t="s">
        <v>54</v>
      </c>
      <c r="C156" s="122" t="s">
        <v>2</v>
      </c>
      <c r="D156" s="631">
        <v>6.6500000000000004E-2</v>
      </c>
      <c r="E156" s="104">
        <f>D156*E144</f>
        <v>0.12435500000000001</v>
      </c>
      <c r="F156" s="104"/>
      <c r="G156" s="127">
        <f>E156*F156</f>
        <v>0</v>
      </c>
      <c r="H156" s="135"/>
      <c r="I156" s="136"/>
      <c r="J156" s="135"/>
      <c r="K156" s="136"/>
      <c r="L156" s="73">
        <f t="shared" si="7"/>
        <v>0</v>
      </c>
      <c r="M156" s="206"/>
      <c r="N156" s="206"/>
      <c r="O156" s="298"/>
      <c r="P156" s="206"/>
      <c r="Q156" s="206"/>
    </row>
    <row r="157" spans="1:17" s="782" customFormat="1" ht="27">
      <c r="A157" s="757">
        <v>32</v>
      </c>
      <c r="B157" s="758" t="s">
        <v>420</v>
      </c>
      <c r="C157" s="738" t="s">
        <v>160</v>
      </c>
      <c r="D157" s="759"/>
      <c r="E157" s="895">
        <v>1.87</v>
      </c>
      <c r="F157" s="759"/>
      <c r="G157" s="758"/>
      <c r="H157" s="760"/>
      <c r="I157" s="759"/>
      <c r="J157" s="760"/>
      <c r="K157" s="759"/>
      <c r="L157" s="757"/>
    </row>
    <row r="158" spans="1:17" s="422" customFormat="1" ht="22.15" customHeight="1">
      <c r="A158" s="742"/>
      <c r="B158" s="743" t="s">
        <v>76</v>
      </c>
      <c r="C158" s="971" t="s">
        <v>165</v>
      </c>
      <c r="D158" s="746">
        <v>1</v>
      </c>
      <c r="E158" s="746">
        <f>E157*D158</f>
        <v>1.87</v>
      </c>
      <c r="F158" s="742"/>
      <c r="G158" s="742"/>
      <c r="H158" s="746"/>
      <c r="I158" s="746">
        <f>H158*E158</f>
        <v>0</v>
      </c>
      <c r="J158" s="742"/>
      <c r="K158" s="742"/>
      <c r="L158" s="749">
        <f t="shared" ref="L158:L161" si="9">K158+I158+G158</f>
        <v>0</v>
      </c>
    </row>
    <row r="159" spans="1:17" s="422" customFormat="1" ht="13.5" customHeight="1">
      <c r="A159" s="784"/>
      <c r="B159" s="763" t="s">
        <v>276</v>
      </c>
      <c r="C159" s="783" t="s">
        <v>60</v>
      </c>
      <c r="D159" s="742">
        <v>0.63</v>
      </c>
      <c r="E159" s="803">
        <f>D159*E157</f>
        <v>1.1781000000000001</v>
      </c>
      <c r="F159" s="785"/>
      <c r="G159" s="746">
        <f>F159*E159</f>
        <v>0</v>
      </c>
      <c r="H159" s="765"/>
      <c r="I159" s="763"/>
      <c r="J159" s="765"/>
      <c r="K159" s="763"/>
      <c r="L159" s="746">
        <f t="shared" si="9"/>
        <v>0</v>
      </c>
    </row>
    <row r="160" spans="1:17" s="77" customFormat="1">
      <c r="A160" s="784"/>
      <c r="B160" s="763" t="s">
        <v>92</v>
      </c>
      <c r="C160" s="853" t="s">
        <v>60</v>
      </c>
      <c r="D160" s="854">
        <v>0.92</v>
      </c>
      <c r="E160" s="781">
        <f>D160*E157</f>
        <v>1.7204000000000002</v>
      </c>
      <c r="F160" s="753"/>
      <c r="G160" s="756">
        <f>E160*F160</f>
        <v>0</v>
      </c>
      <c r="H160" s="135"/>
      <c r="I160" s="136"/>
      <c r="J160" s="135"/>
      <c r="K160" s="136"/>
      <c r="L160" s="73">
        <f t="shared" si="9"/>
        <v>0</v>
      </c>
      <c r="M160" s="206"/>
      <c r="N160" s="266"/>
      <c r="O160" s="298"/>
      <c r="P160" s="206"/>
      <c r="Q160" s="206"/>
    </row>
    <row r="161" spans="1:17" s="77" customFormat="1">
      <c r="A161" s="117"/>
      <c r="B161" s="121" t="s">
        <v>54</v>
      </c>
      <c r="C161" s="122" t="s">
        <v>2</v>
      </c>
      <c r="D161" s="631">
        <v>1.7999999999999999E-2</v>
      </c>
      <c r="E161" s="104">
        <f>D161*E149</f>
        <v>2.3561999999999996E-2</v>
      </c>
      <c r="F161" s="104"/>
      <c r="G161" s="127">
        <f>E161*F161</f>
        <v>0</v>
      </c>
      <c r="H161" s="135"/>
      <c r="I161" s="136"/>
      <c r="J161" s="135"/>
      <c r="K161" s="136"/>
      <c r="L161" s="73">
        <f t="shared" si="9"/>
        <v>0</v>
      </c>
      <c r="M161" s="206"/>
      <c r="N161" s="206"/>
      <c r="O161" s="298"/>
      <c r="P161" s="206"/>
      <c r="Q161" s="206"/>
    </row>
    <row r="162" spans="1:17" s="79" customFormat="1" ht="27">
      <c r="A162" s="347">
        <v>33</v>
      </c>
      <c r="B162" s="350" t="s">
        <v>84</v>
      </c>
      <c r="C162" s="347" t="s">
        <v>160</v>
      </c>
      <c r="D162" s="351"/>
      <c r="E162" s="352">
        <v>15.11</v>
      </c>
      <c r="F162" s="353"/>
      <c r="G162" s="354"/>
      <c r="H162" s="353"/>
      <c r="I162" s="354"/>
      <c r="J162" s="353"/>
      <c r="K162" s="354"/>
      <c r="L162" s="354"/>
      <c r="M162" s="306"/>
      <c r="N162" s="206"/>
      <c r="O162" s="298"/>
      <c r="P162" s="306"/>
      <c r="Q162" s="306"/>
    </row>
    <row r="163" spans="1:17" s="77" customFormat="1">
      <c r="A163" s="630"/>
      <c r="B163" s="121" t="s">
        <v>45</v>
      </c>
      <c r="C163" s="630" t="s">
        <v>46</v>
      </c>
      <c r="D163" s="123">
        <v>1.0246</v>
      </c>
      <c r="E163" s="124">
        <f>D163*E162</f>
        <v>15.481705999999999</v>
      </c>
      <c r="F163" s="125"/>
      <c r="G163" s="73"/>
      <c r="H163" s="125"/>
      <c r="I163" s="73">
        <f>H163*E163</f>
        <v>0</v>
      </c>
      <c r="J163" s="125"/>
      <c r="K163" s="73"/>
      <c r="L163" s="73">
        <f>K163+I163+G163</f>
        <v>0</v>
      </c>
      <c r="M163" s="206"/>
      <c r="N163" s="206"/>
      <c r="O163" s="298"/>
      <c r="P163" s="206"/>
      <c r="Q163" s="206"/>
    </row>
    <row r="164" spans="1:17" s="77" customFormat="1">
      <c r="A164" s="630"/>
      <c r="B164" s="121" t="s">
        <v>53</v>
      </c>
      <c r="C164" s="630" t="s">
        <v>2</v>
      </c>
      <c r="D164" s="123">
        <v>3.8999999999999998E-3</v>
      </c>
      <c r="E164" s="124">
        <f>D164*E162</f>
        <v>5.8928999999999995E-2</v>
      </c>
      <c r="F164" s="125"/>
      <c r="G164" s="73"/>
      <c r="H164" s="125"/>
      <c r="I164" s="73"/>
      <c r="J164" s="125"/>
      <c r="K164" s="175">
        <f>J164*E164</f>
        <v>0</v>
      </c>
      <c r="L164" s="175">
        <f>K164+I164+G164</f>
        <v>0</v>
      </c>
      <c r="M164" s="206"/>
      <c r="N164" s="206"/>
      <c r="O164" s="298"/>
      <c r="P164" s="206"/>
      <c r="Q164" s="206"/>
    </row>
    <row r="165" spans="1:17" s="77" customFormat="1" ht="15.75">
      <c r="A165" s="170"/>
      <c r="B165" s="55" t="s">
        <v>85</v>
      </c>
      <c r="C165" s="630" t="s">
        <v>150</v>
      </c>
      <c r="D165" s="226">
        <v>1.03</v>
      </c>
      <c r="E165" s="104">
        <f>D165*E162</f>
        <v>15.5633</v>
      </c>
      <c r="F165" s="221"/>
      <c r="G165" s="227">
        <f>F165*E165</f>
        <v>0</v>
      </c>
      <c r="H165" s="225"/>
      <c r="I165" s="224"/>
      <c r="J165" s="225"/>
      <c r="K165" s="224"/>
      <c r="L165" s="73">
        <f>K165+I165+G165</f>
        <v>0</v>
      </c>
      <c r="M165" s="206"/>
      <c r="N165" s="206"/>
      <c r="O165" s="298"/>
      <c r="P165" s="206"/>
      <c r="Q165" s="206"/>
    </row>
    <row r="166" spans="1:17" s="77" customFormat="1" ht="15">
      <c r="A166" s="180"/>
      <c r="B166" s="55" t="s">
        <v>54</v>
      </c>
      <c r="C166" s="630" t="s">
        <v>2</v>
      </c>
      <c r="D166" s="631">
        <v>1.6E-2</v>
      </c>
      <c r="E166" s="104">
        <f>D166*E162</f>
        <v>0.24176</v>
      </c>
      <c r="F166" s="125"/>
      <c r="G166" s="73">
        <f>F166*E166</f>
        <v>0</v>
      </c>
      <c r="H166" s="166"/>
      <c r="I166" s="58"/>
      <c r="J166" s="166"/>
      <c r="K166" s="58"/>
      <c r="L166" s="73">
        <f>K166+I166+G166</f>
        <v>0</v>
      </c>
      <c r="M166" s="206"/>
      <c r="N166" s="197"/>
      <c r="O166" s="298"/>
      <c r="P166" s="206"/>
      <c r="Q166" s="206"/>
    </row>
    <row r="167" spans="1:17" s="782" customFormat="1" ht="27">
      <c r="A167" s="757">
        <v>34</v>
      </c>
      <c r="B167" s="758" t="s">
        <v>456</v>
      </c>
      <c r="C167" s="738" t="s">
        <v>160</v>
      </c>
      <c r="D167" s="759"/>
      <c r="E167" s="895">
        <v>7.88</v>
      </c>
      <c r="F167" s="759"/>
      <c r="G167" s="758"/>
      <c r="H167" s="760"/>
      <c r="I167" s="759"/>
      <c r="J167" s="760"/>
      <c r="K167" s="759"/>
      <c r="L167" s="757"/>
    </row>
    <row r="168" spans="1:17" s="422" customFormat="1" ht="22.15" customHeight="1">
      <c r="A168" s="742"/>
      <c r="B168" s="743" t="s">
        <v>76</v>
      </c>
      <c r="C168" s="742" t="s">
        <v>165</v>
      </c>
      <c r="D168" s="746">
        <v>1</v>
      </c>
      <c r="E168" s="746">
        <f>E167*D168</f>
        <v>7.88</v>
      </c>
      <c r="F168" s="742"/>
      <c r="G168" s="742"/>
      <c r="H168" s="746"/>
      <c r="I168" s="746">
        <f>H168*E168</f>
        <v>0</v>
      </c>
      <c r="J168" s="742"/>
      <c r="K168" s="742"/>
      <c r="L168" s="749">
        <f t="shared" ref="L168:L170" si="10">K168+I168+G168</f>
        <v>0</v>
      </c>
    </row>
    <row r="169" spans="1:17" s="422" customFormat="1" ht="13.5" customHeight="1">
      <c r="A169" s="784"/>
      <c r="B169" s="763" t="s">
        <v>276</v>
      </c>
      <c r="C169" s="783" t="s">
        <v>60</v>
      </c>
      <c r="D169" s="742">
        <v>0.63</v>
      </c>
      <c r="E169" s="803">
        <f>D169*E167</f>
        <v>4.9644000000000004</v>
      </c>
      <c r="F169" s="785"/>
      <c r="G169" s="746">
        <f>F169*E169</f>
        <v>0</v>
      </c>
      <c r="H169" s="765"/>
      <c r="I169" s="763"/>
      <c r="J169" s="765"/>
      <c r="K169" s="763"/>
      <c r="L169" s="746">
        <f t="shared" si="10"/>
        <v>0</v>
      </c>
    </row>
    <row r="170" spans="1:17" s="77" customFormat="1">
      <c r="A170" s="750"/>
      <c r="B170" s="768" t="s">
        <v>54</v>
      </c>
      <c r="C170" s="744" t="s">
        <v>2</v>
      </c>
      <c r="D170" s="752">
        <v>1.7999999999999999E-2</v>
      </c>
      <c r="E170" s="781">
        <f>D170*E167</f>
        <v>0.14183999999999999</v>
      </c>
      <c r="F170" s="781"/>
      <c r="G170" s="756">
        <f>E170*F170</f>
        <v>0</v>
      </c>
      <c r="H170" s="755"/>
      <c r="I170" s="754"/>
      <c r="J170" s="755"/>
      <c r="K170" s="754"/>
      <c r="L170" s="746">
        <f t="shared" si="10"/>
        <v>0</v>
      </c>
      <c r="M170" s="206"/>
      <c r="N170" s="206"/>
      <c r="O170" s="298"/>
      <c r="P170" s="206"/>
      <c r="Q170" s="206"/>
    </row>
    <row r="171" spans="1:17" s="479" customFormat="1" ht="27" customHeight="1">
      <c r="A171" s="403">
        <v>35</v>
      </c>
      <c r="B171" s="403" t="s">
        <v>449</v>
      </c>
      <c r="C171" s="403" t="s">
        <v>160</v>
      </c>
      <c r="D171" s="403"/>
      <c r="E171" s="478">
        <v>21.98</v>
      </c>
      <c r="F171" s="425"/>
      <c r="G171" s="425"/>
      <c r="H171" s="425"/>
      <c r="I171" s="425"/>
      <c r="J171" s="425"/>
      <c r="K171" s="425"/>
      <c r="L171" s="425"/>
    </row>
    <row r="172" spans="1:17" s="480" customFormat="1" ht="15.75">
      <c r="A172" s="392"/>
      <c r="B172" s="455" t="s">
        <v>45</v>
      </c>
      <c r="C172" s="630" t="s">
        <v>165</v>
      </c>
      <c r="D172" s="456">
        <v>1</v>
      </c>
      <c r="E172" s="458">
        <f>D172*E171</f>
        <v>21.98</v>
      </c>
      <c r="F172" s="393"/>
      <c r="G172" s="393"/>
      <c r="H172" s="393"/>
      <c r="I172" s="393">
        <f>H172*E172</f>
        <v>0</v>
      </c>
      <c r="J172" s="393"/>
      <c r="K172" s="393"/>
      <c r="L172" s="393">
        <f>K172+I172+G172</f>
        <v>0</v>
      </c>
    </row>
    <row r="173" spans="1:17" s="480" customFormat="1" ht="15">
      <c r="A173" s="392"/>
      <c r="B173" s="455" t="s">
        <v>53</v>
      </c>
      <c r="C173" s="456" t="s">
        <v>2</v>
      </c>
      <c r="D173" s="471">
        <f>(0.95+4*0.23)/100</f>
        <v>1.8700000000000001E-2</v>
      </c>
      <c r="E173" s="464">
        <f>D173*E171</f>
        <v>0.41102600000000006</v>
      </c>
      <c r="F173" s="393"/>
      <c r="G173" s="393"/>
      <c r="H173" s="393"/>
      <c r="I173" s="393"/>
      <c r="J173" s="393"/>
      <c r="K173" s="393">
        <f>E173*J173</f>
        <v>0</v>
      </c>
      <c r="L173" s="393">
        <f>K173+I173+G173</f>
        <v>0</v>
      </c>
    </row>
    <row r="174" spans="1:17" s="480" customFormat="1" ht="15.75">
      <c r="A174" s="392"/>
      <c r="B174" s="482" t="s">
        <v>89</v>
      </c>
      <c r="C174" s="456" t="s">
        <v>151</v>
      </c>
      <c r="D174" s="483">
        <f>(2.04+4*0.51)/100</f>
        <v>4.0800000000000003E-2</v>
      </c>
      <c r="E174" s="393">
        <f>D174*E171</f>
        <v>0.89678400000000014</v>
      </c>
      <c r="F174" s="481"/>
      <c r="G174" s="393">
        <f>F174*E174</f>
        <v>0</v>
      </c>
      <c r="H174" s="393"/>
      <c r="I174" s="393"/>
      <c r="J174" s="393"/>
      <c r="K174" s="393"/>
      <c r="L174" s="393">
        <f>K174+I174+G174</f>
        <v>0</v>
      </c>
    </row>
    <row r="175" spans="1:17" s="480" customFormat="1" ht="15" customHeight="1">
      <c r="A175" s="392"/>
      <c r="B175" s="455" t="s">
        <v>54</v>
      </c>
      <c r="C175" s="456" t="s">
        <v>2</v>
      </c>
      <c r="D175" s="483">
        <v>6.3600000000000004E-2</v>
      </c>
      <c r="E175" s="393">
        <f>D175*E171</f>
        <v>1.3979280000000001</v>
      </c>
      <c r="F175" s="393"/>
      <c r="G175" s="393">
        <f>F175*E175</f>
        <v>0</v>
      </c>
      <c r="H175" s="393"/>
      <c r="I175" s="393"/>
      <c r="J175" s="393"/>
      <c r="K175" s="393"/>
      <c r="L175" s="393">
        <f>K175+I175+G175</f>
        <v>0</v>
      </c>
    </row>
    <row r="176" spans="1:17" s="10" customFormat="1" ht="27">
      <c r="A176" s="347">
        <v>36</v>
      </c>
      <c r="B176" s="339" t="s">
        <v>450</v>
      </c>
      <c r="C176" s="347" t="s">
        <v>160</v>
      </c>
      <c r="D176" s="338"/>
      <c r="E176" s="478">
        <v>21.98</v>
      </c>
      <c r="F176" s="353"/>
      <c r="G176" s="354"/>
      <c r="H176" s="353"/>
      <c r="I176" s="354"/>
      <c r="J176" s="353"/>
      <c r="K176" s="354"/>
      <c r="L176" s="354"/>
      <c r="M176" s="220"/>
      <c r="N176" s="305"/>
      <c r="O176" s="298"/>
      <c r="P176" s="220"/>
      <c r="Q176" s="220"/>
    </row>
    <row r="177" spans="1:17" s="81" customFormat="1" ht="15.75">
      <c r="A177" s="630"/>
      <c r="B177" s="121" t="s">
        <v>45</v>
      </c>
      <c r="C177" s="630" t="s">
        <v>165</v>
      </c>
      <c r="D177" s="123">
        <v>1</v>
      </c>
      <c r="E177" s="124">
        <f>D177*E176</f>
        <v>21.98</v>
      </c>
      <c r="F177" s="125"/>
      <c r="G177" s="73"/>
      <c r="H177" s="291"/>
      <c r="I177" s="73">
        <f>H177*E177</f>
        <v>0</v>
      </c>
      <c r="J177" s="125"/>
      <c r="K177" s="73"/>
      <c r="L177" s="73">
        <f t="shared" ref="L177:L183" si="11">K177+I177+G177</f>
        <v>0</v>
      </c>
      <c r="M177" s="308"/>
      <c r="N177" s="305"/>
      <c r="O177" s="298"/>
      <c r="P177" s="308"/>
      <c r="Q177" s="308"/>
    </row>
    <row r="178" spans="1:17" s="81" customFormat="1">
      <c r="A178" s="630"/>
      <c r="B178" s="121" t="s">
        <v>53</v>
      </c>
      <c r="C178" s="122" t="s">
        <v>2</v>
      </c>
      <c r="D178" s="133">
        <v>4.5199999999999997E-2</v>
      </c>
      <c r="E178" s="134">
        <f>D178*E176</f>
        <v>0.99349599999999993</v>
      </c>
      <c r="F178" s="125"/>
      <c r="G178" s="73"/>
      <c r="H178" s="125"/>
      <c r="I178" s="73"/>
      <c r="J178" s="125"/>
      <c r="K178" s="73">
        <f>E178*J178</f>
        <v>0</v>
      </c>
      <c r="L178" s="73">
        <f t="shared" si="11"/>
        <v>0</v>
      </c>
      <c r="M178" s="308"/>
      <c r="N178" s="304"/>
      <c r="O178" s="298"/>
      <c r="P178" s="308"/>
      <c r="Q178" s="308"/>
    </row>
    <row r="179" spans="1:17" s="77" customFormat="1" ht="26.25">
      <c r="A179" s="117"/>
      <c r="B179" s="121" t="s">
        <v>451</v>
      </c>
      <c r="C179" s="1017" t="s">
        <v>165</v>
      </c>
      <c r="D179" s="133">
        <v>1.02</v>
      </c>
      <c r="E179" s="104">
        <f>D179*E176-1.94</f>
        <v>20.479599999999998</v>
      </c>
      <c r="F179" s="104"/>
      <c r="G179" s="127">
        <f>F179*E179</f>
        <v>0</v>
      </c>
      <c r="H179" s="104"/>
      <c r="I179" s="136"/>
      <c r="J179" s="135"/>
      <c r="K179" s="136"/>
      <c r="L179" s="127">
        <f t="shared" si="11"/>
        <v>0</v>
      </c>
      <c r="M179" s="206"/>
      <c r="N179" s="304"/>
      <c r="O179" s="298"/>
      <c r="P179" s="206"/>
      <c r="Q179" s="206"/>
    </row>
    <row r="180" spans="1:17" s="77" customFormat="1" ht="26.25">
      <c r="A180" s="117"/>
      <c r="B180" s="121" t="s">
        <v>452</v>
      </c>
      <c r="C180" s="1017" t="s">
        <v>165</v>
      </c>
      <c r="D180" s="133">
        <v>1.02</v>
      </c>
      <c r="E180" s="104">
        <v>1.94</v>
      </c>
      <c r="F180" s="104"/>
      <c r="G180" s="127">
        <f>F180*E180</f>
        <v>0</v>
      </c>
      <c r="H180" s="104"/>
      <c r="I180" s="136"/>
      <c r="J180" s="135"/>
      <c r="K180" s="136"/>
      <c r="L180" s="127">
        <f t="shared" ref="L180" si="12">K180+I180+G180</f>
        <v>0</v>
      </c>
      <c r="M180" s="206"/>
      <c r="N180" s="304"/>
      <c r="O180" s="298"/>
      <c r="P180" s="206"/>
      <c r="Q180" s="206"/>
    </row>
    <row r="181" spans="1:17" s="23" customFormat="1" ht="15">
      <c r="A181" s="515"/>
      <c r="B181" s="177" t="s">
        <v>87</v>
      </c>
      <c r="C181" s="165" t="s">
        <v>60</v>
      </c>
      <c r="D181" s="631">
        <v>6.25</v>
      </c>
      <c r="E181" s="104">
        <f>D181*E176</f>
        <v>137.375</v>
      </c>
      <c r="F181" s="125"/>
      <c r="G181" s="73">
        <f>F181*E181</f>
        <v>0</v>
      </c>
      <c r="H181" s="125"/>
      <c r="I181" s="73"/>
      <c r="J181" s="125"/>
      <c r="K181" s="73"/>
      <c r="L181" s="73">
        <f t="shared" si="11"/>
        <v>0</v>
      </c>
      <c r="M181" s="45"/>
      <c r="N181" s="220"/>
      <c r="O181" s="298"/>
      <c r="P181" s="45"/>
      <c r="Q181" s="45"/>
    </row>
    <row r="182" spans="1:17" s="23" customFormat="1" ht="15">
      <c r="A182" s="515"/>
      <c r="B182" s="176" t="s">
        <v>90</v>
      </c>
      <c r="C182" s="165" t="s">
        <v>60</v>
      </c>
      <c r="D182" s="631">
        <v>0.2</v>
      </c>
      <c r="E182" s="104">
        <f>D182*E176</f>
        <v>4.3959999999999999</v>
      </c>
      <c r="F182" s="125"/>
      <c r="G182" s="73">
        <f>F182*E182</f>
        <v>0</v>
      </c>
      <c r="H182" s="125"/>
      <c r="I182" s="73"/>
      <c r="J182" s="125"/>
      <c r="K182" s="73"/>
      <c r="L182" s="73">
        <f t="shared" si="11"/>
        <v>0</v>
      </c>
      <c r="M182" s="45"/>
      <c r="N182" s="308"/>
      <c r="O182" s="298"/>
      <c r="P182" s="45"/>
      <c r="Q182" s="45"/>
    </row>
    <row r="183" spans="1:17" s="78" customFormat="1">
      <c r="A183" s="159"/>
      <c r="B183" s="121" t="s">
        <v>54</v>
      </c>
      <c r="C183" s="122" t="s">
        <v>2</v>
      </c>
      <c r="D183" s="163">
        <v>4.6600000000000003E-2</v>
      </c>
      <c r="E183" s="164">
        <f>D183*E176</f>
        <v>1.0242680000000002</v>
      </c>
      <c r="F183" s="160"/>
      <c r="G183" s="127">
        <f>F183*E183</f>
        <v>0</v>
      </c>
      <c r="H183" s="164"/>
      <c r="I183" s="161"/>
      <c r="J183" s="162"/>
      <c r="K183" s="161"/>
      <c r="L183" s="127">
        <f t="shared" si="11"/>
        <v>0</v>
      </c>
      <c r="M183" s="304"/>
      <c r="N183" s="308"/>
      <c r="O183" s="298"/>
      <c r="P183" s="304"/>
      <c r="Q183" s="304"/>
    </row>
    <row r="184" spans="1:17" s="782" customFormat="1" ht="27">
      <c r="A184" s="757">
        <v>37</v>
      </c>
      <c r="B184" s="758" t="s">
        <v>277</v>
      </c>
      <c r="C184" s="738" t="s">
        <v>160</v>
      </c>
      <c r="D184" s="759"/>
      <c r="E184" s="895">
        <v>6.32</v>
      </c>
      <c r="F184" s="759"/>
      <c r="G184" s="758"/>
      <c r="H184" s="760"/>
      <c r="I184" s="759"/>
      <c r="J184" s="760"/>
      <c r="K184" s="759"/>
      <c r="L184" s="757"/>
    </row>
    <row r="185" spans="1:17" s="422" customFormat="1" ht="22.15" customHeight="1">
      <c r="A185" s="742"/>
      <c r="B185" s="743" t="s">
        <v>76</v>
      </c>
      <c r="C185" s="886" t="s">
        <v>165</v>
      </c>
      <c r="D185" s="746">
        <v>1</v>
      </c>
      <c r="E185" s="746">
        <f>E184*D185</f>
        <v>6.32</v>
      </c>
      <c r="F185" s="742"/>
      <c r="G185" s="742"/>
      <c r="H185" s="746"/>
      <c r="I185" s="746">
        <f>H185*E185</f>
        <v>0</v>
      </c>
      <c r="J185" s="742"/>
      <c r="K185" s="742"/>
      <c r="L185" s="749">
        <f t="shared" ref="L185:L190" si="13">K185+I185+G185</f>
        <v>0</v>
      </c>
    </row>
    <row r="186" spans="1:17" s="422" customFormat="1" ht="13.5" customHeight="1">
      <c r="A186" s="784"/>
      <c r="B186" s="763" t="s">
        <v>276</v>
      </c>
      <c r="C186" s="783" t="s">
        <v>60</v>
      </c>
      <c r="D186" s="742">
        <v>0.63</v>
      </c>
      <c r="E186" s="803">
        <f>D186*E184</f>
        <v>3.9816000000000003</v>
      </c>
      <c r="F186" s="785"/>
      <c r="G186" s="746">
        <f>F186*E186</f>
        <v>0</v>
      </c>
      <c r="H186" s="765"/>
      <c r="I186" s="763"/>
      <c r="J186" s="765"/>
      <c r="K186" s="763"/>
      <c r="L186" s="746">
        <f t="shared" si="13"/>
        <v>0</v>
      </c>
    </row>
    <row r="187" spans="1:17" s="77" customFormat="1">
      <c r="A187" s="784"/>
      <c r="B187" s="763" t="s">
        <v>92</v>
      </c>
      <c r="C187" s="853" t="s">
        <v>60</v>
      </c>
      <c r="D187" s="854">
        <v>0.55000000000000004</v>
      </c>
      <c r="E187" s="781">
        <f>D187*E184</f>
        <v>3.4760000000000004</v>
      </c>
      <c r="F187" s="753"/>
      <c r="G187" s="756">
        <f>E187*F187</f>
        <v>0</v>
      </c>
      <c r="H187" s="135"/>
      <c r="I187" s="136"/>
      <c r="J187" s="135"/>
      <c r="K187" s="136"/>
      <c r="L187" s="73">
        <f t="shared" si="13"/>
        <v>0</v>
      </c>
      <c r="M187" s="206"/>
      <c r="N187" s="266"/>
      <c r="O187" s="298"/>
      <c r="P187" s="206"/>
      <c r="Q187" s="206"/>
    </row>
    <row r="188" spans="1:17" s="422" customFormat="1" ht="13.5" customHeight="1">
      <c r="A188" s="750"/>
      <c r="B188" s="743" t="s">
        <v>354</v>
      </c>
      <c r="C188" s="886" t="s">
        <v>165</v>
      </c>
      <c r="D188" s="750">
        <v>1.6E-2</v>
      </c>
      <c r="E188" s="781">
        <f>D188*E184</f>
        <v>0.10112</v>
      </c>
      <c r="F188" s="781"/>
      <c r="G188" s="756">
        <f>E188*F188</f>
        <v>0</v>
      </c>
      <c r="H188" s="135"/>
      <c r="I188" s="136"/>
      <c r="J188" s="135"/>
      <c r="K188" s="136"/>
      <c r="L188" s="73">
        <f t="shared" si="13"/>
        <v>0</v>
      </c>
    </row>
    <row r="189" spans="1:17" s="422" customFormat="1" ht="13.5" customHeight="1">
      <c r="A189" s="750"/>
      <c r="B189" s="743" t="s">
        <v>146</v>
      </c>
      <c r="C189" s="886" t="s">
        <v>166</v>
      </c>
      <c r="D189" s="750">
        <v>2.3999999999999998E-3</v>
      </c>
      <c r="E189" s="781">
        <f>D189*E184</f>
        <v>1.5167999999999999E-2</v>
      </c>
      <c r="F189" s="750"/>
      <c r="G189" s="756">
        <f>E189*F189</f>
        <v>0</v>
      </c>
      <c r="H189" s="135"/>
      <c r="I189" s="136"/>
      <c r="J189" s="135"/>
      <c r="K189" s="136"/>
      <c r="L189" s="73">
        <f t="shared" si="13"/>
        <v>0</v>
      </c>
    </row>
    <row r="190" spans="1:17" s="422" customFormat="1" ht="13.5" customHeight="1">
      <c r="A190" s="750"/>
      <c r="B190" s="743" t="s">
        <v>355</v>
      </c>
      <c r="C190" s="742" t="s">
        <v>60</v>
      </c>
      <c r="D190" s="750">
        <v>1.43E-2</v>
      </c>
      <c r="E190" s="781">
        <f>D190*E184</f>
        <v>9.0376000000000012E-2</v>
      </c>
      <c r="F190" s="750"/>
      <c r="G190" s="756">
        <f>E190*F190</f>
        <v>0</v>
      </c>
      <c r="H190" s="135"/>
      <c r="I190" s="136"/>
      <c r="J190" s="135"/>
      <c r="K190" s="136"/>
      <c r="L190" s="73">
        <f t="shared" si="13"/>
        <v>0</v>
      </c>
    </row>
    <row r="191" spans="1:17" s="77" customFormat="1" ht="27">
      <c r="A191" s="472">
        <v>38</v>
      </c>
      <c r="B191" s="339" t="s">
        <v>279</v>
      </c>
      <c r="C191" s="347" t="s">
        <v>160</v>
      </c>
      <c r="D191" s="474"/>
      <c r="E191" s="475">
        <v>62.13</v>
      </c>
      <c r="F191" s="476"/>
      <c r="G191" s="492"/>
      <c r="H191" s="476"/>
      <c r="I191" s="477"/>
      <c r="J191" s="476"/>
      <c r="K191" s="477"/>
      <c r="L191" s="504"/>
      <c r="M191" s="206"/>
      <c r="N191" s="206"/>
      <c r="O191" s="298"/>
      <c r="P191" s="206"/>
      <c r="Q191" s="206"/>
    </row>
    <row r="192" spans="1:17" s="77" customFormat="1" ht="15.75">
      <c r="A192" s="630"/>
      <c r="B192" s="121" t="s">
        <v>76</v>
      </c>
      <c r="C192" s="886" t="s">
        <v>165</v>
      </c>
      <c r="D192" s="746">
        <v>1</v>
      </c>
      <c r="E192" s="125">
        <f>E191*D192</f>
        <v>62.13</v>
      </c>
      <c r="F192" s="125"/>
      <c r="G192" s="73"/>
      <c r="H192" s="746"/>
      <c r="I192" s="73">
        <f>H192*E192</f>
        <v>0</v>
      </c>
      <c r="J192" s="125"/>
      <c r="K192" s="73"/>
      <c r="L192" s="73">
        <f t="shared" ref="L192:L197" si="14">K192+I192+G192</f>
        <v>0</v>
      </c>
      <c r="M192" s="206"/>
      <c r="N192" s="206"/>
      <c r="O192" s="298"/>
      <c r="P192" s="206"/>
      <c r="Q192" s="206"/>
    </row>
    <row r="193" spans="1:17" s="77" customFormat="1">
      <c r="A193" s="784"/>
      <c r="B193" s="763" t="s">
        <v>276</v>
      </c>
      <c r="C193" s="783" t="s">
        <v>60</v>
      </c>
      <c r="D193" s="854">
        <v>0.63</v>
      </c>
      <c r="E193" s="781">
        <f>D193*E191</f>
        <v>39.1419</v>
      </c>
      <c r="F193" s="785"/>
      <c r="G193" s="746">
        <f>F193*E193</f>
        <v>0</v>
      </c>
      <c r="H193" s="166"/>
      <c r="I193" s="58"/>
      <c r="J193" s="166"/>
      <c r="K193" s="58"/>
      <c r="L193" s="73">
        <f t="shared" si="14"/>
        <v>0</v>
      </c>
      <c r="M193" s="206"/>
      <c r="N193" s="266"/>
      <c r="O193" s="298"/>
      <c r="P193" s="206"/>
      <c r="Q193" s="206"/>
    </row>
    <row r="194" spans="1:17" s="77" customFormat="1">
      <c r="A194" s="784"/>
      <c r="B194" s="763" t="s">
        <v>92</v>
      </c>
      <c r="C194" s="853" t="s">
        <v>60</v>
      </c>
      <c r="D194" s="854">
        <v>0.51</v>
      </c>
      <c r="E194" s="781">
        <f>D194*E191</f>
        <v>31.686300000000003</v>
      </c>
      <c r="F194" s="753"/>
      <c r="G194" s="756">
        <f>E194*F194</f>
        <v>0</v>
      </c>
      <c r="H194" s="135"/>
      <c r="I194" s="136"/>
      <c r="J194" s="135"/>
      <c r="K194" s="136"/>
      <c r="L194" s="73">
        <f t="shared" si="14"/>
        <v>0</v>
      </c>
      <c r="M194" s="206"/>
      <c r="N194" s="266"/>
      <c r="O194" s="298"/>
      <c r="P194" s="206"/>
      <c r="Q194" s="206"/>
    </row>
    <row r="195" spans="1:17" s="422" customFormat="1" ht="13.5" customHeight="1">
      <c r="A195" s="750"/>
      <c r="B195" s="743" t="s">
        <v>354</v>
      </c>
      <c r="C195" s="886" t="s">
        <v>165</v>
      </c>
      <c r="D195" s="750">
        <v>1.6E-2</v>
      </c>
      <c r="E195" s="781">
        <f>D195*E191</f>
        <v>0.99408000000000007</v>
      </c>
      <c r="F195" s="781"/>
      <c r="G195" s="756">
        <f>E195*F195</f>
        <v>0</v>
      </c>
      <c r="H195" s="135"/>
      <c r="I195" s="136"/>
      <c r="J195" s="135"/>
      <c r="K195" s="136"/>
      <c r="L195" s="73">
        <f t="shared" si="14"/>
        <v>0</v>
      </c>
    </row>
    <row r="196" spans="1:17" s="422" customFormat="1" ht="13.5" customHeight="1">
      <c r="A196" s="750"/>
      <c r="B196" s="743" t="s">
        <v>146</v>
      </c>
      <c r="C196" s="886" t="s">
        <v>166</v>
      </c>
      <c r="D196" s="750">
        <v>2.3999999999999998E-3</v>
      </c>
      <c r="E196" s="781">
        <f>D196*E191</f>
        <v>0.14911199999999999</v>
      </c>
      <c r="F196" s="750"/>
      <c r="G196" s="756">
        <f>E196*F196</f>
        <v>0</v>
      </c>
      <c r="H196" s="135"/>
      <c r="I196" s="136"/>
      <c r="J196" s="135"/>
      <c r="K196" s="136"/>
      <c r="L196" s="73">
        <f t="shared" si="14"/>
        <v>0</v>
      </c>
    </row>
    <row r="197" spans="1:17" s="422" customFormat="1" ht="13.5" customHeight="1">
      <c r="A197" s="750"/>
      <c r="B197" s="743" t="s">
        <v>355</v>
      </c>
      <c r="C197" s="742" t="s">
        <v>60</v>
      </c>
      <c r="D197" s="750">
        <v>1.43E-2</v>
      </c>
      <c r="E197" s="781">
        <f>D197*E191</f>
        <v>0.888459</v>
      </c>
      <c r="F197" s="750"/>
      <c r="G197" s="756">
        <f>E197*F197</f>
        <v>0</v>
      </c>
      <c r="H197" s="135"/>
      <c r="I197" s="136"/>
      <c r="J197" s="135"/>
      <c r="K197" s="136"/>
      <c r="L197" s="73">
        <f t="shared" si="14"/>
        <v>0</v>
      </c>
    </row>
    <row r="198" spans="1:17" s="470" customFormat="1" ht="27">
      <c r="A198" s="738">
        <v>39</v>
      </c>
      <c r="B198" s="739" t="s">
        <v>398</v>
      </c>
      <c r="C198" s="340" t="s">
        <v>150</v>
      </c>
      <c r="D198" s="859"/>
      <c r="E198" s="975">
        <v>21.3</v>
      </c>
      <c r="F198" s="741"/>
      <c r="G198" s="741"/>
      <c r="H198" s="741"/>
      <c r="I198" s="741"/>
      <c r="J198" s="741"/>
      <c r="K198" s="741"/>
      <c r="L198" s="741"/>
    </row>
    <row r="199" spans="1:17" s="82" customFormat="1" ht="15.75">
      <c r="A199" s="971"/>
      <c r="B199" s="121" t="s">
        <v>45</v>
      </c>
      <c r="C199" s="971" t="s">
        <v>150</v>
      </c>
      <c r="D199" s="123">
        <v>1</v>
      </c>
      <c r="E199" s="124">
        <f>D199*E198</f>
        <v>21.3</v>
      </c>
      <c r="F199" s="125"/>
      <c r="G199" s="73"/>
      <c r="H199" s="125"/>
      <c r="I199" s="73">
        <f>H199*E199</f>
        <v>0</v>
      </c>
      <c r="J199" s="125"/>
      <c r="K199" s="73"/>
      <c r="L199" s="73">
        <f t="shared" ref="L199:L200" si="15">K199+I199+G199</f>
        <v>0</v>
      </c>
      <c r="M199" s="309"/>
      <c r="N199" s="206"/>
      <c r="O199" s="298"/>
      <c r="P199" s="309"/>
      <c r="Q199" s="309"/>
    </row>
    <row r="200" spans="1:17" s="81" customFormat="1">
      <c r="A200" s="971"/>
      <c r="B200" s="121" t="s">
        <v>399</v>
      </c>
      <c r="C200" s="122" t="s">
        <v>2</v>
      </c>
      <c r="D200" s="133">
        <v>4.2500000000000003E-2</v>
      </c>
      <c r="E200" s="134">
        <f>D200*E198</f>
        <v>0.90525000000000011</v>
      </c>
      <c r="F200" s="125"/>
      <c r="G200" s="73"/>
      <c r="H200" s="125"/>
      <c r="I200" s="73"/>
      <c r="J200" s="125"/>
      <c r="K200" s="73">
        <f>E200*J200</f>
        <v>0</v>
      </c>
      <c r="L200" s="73">
        <f t="shared" si="15"/>
        <v>0</v>
      </c>
      <c r="M200" s="308"/>
      <c r="N200" s="206"/>
      <c r="O200" s="298"/>
      <c r="P200" s="308"/>
      <c r="Q200" s="308"/>
    </row>
    <row r="201" spans="1:17" s="81" customFormat="1" ht="15.75">
      <c r="A201" s="742"/>
      <c r="B201" s="768" t="s">
        <v>448</v>
      </c>
      <c r="C201" s="1016" t="s">
        <v>150</v>
      </c>
      <c r="D201" s="813">
        <v>1.05</v>
      </c>
      <c r="E201" s="792">
        <f>D201*E198</f>
        <v>22.365000000000002</v>
      </c>
      <c r="F201" s="753"/>
      <c r="G201" s="746">
        <f>E201*F201</f>
        <v>0</v>
      </c>
      <c r="H201" s="746"/>
      <c r="I201" s="746"/>
      <c r="J201" s="746"/>
      <c r="K201" s="746"/>
      <c r="L201" s="746">
        <f>K201+I201+G201</f>
        <v>0</v>
      </c>
      <c r="M201" s="308"/>
      <c r="N201" s="206"/>
      <c r="O201" s="298"/>
      <c r="P201" s="308"/>
      <c r="Q201" s="308"/>
    </row>
    <row r="202" spans="1:17" s="256" customFormat="1" ht="15.75">
      <c r="A202" s="742"/>
      <c r="B202" s="747" t="s">
        <v>87</v>
      </c>
      <c r="C202" s="744" t="s">
        <v>60</v>
      </c>
      <c r="D202" s="748">
        <v>12.5</v>
      </c>
      <c r="E202" s="746">
        <f>D202*E198</f>
        <v>266.25</v>
      </c>
      <c r="F202" s="746"/>
      <c r="G202" s="746">
        <f>E202*F202</f>
        <v>0</v>
      </c>
      <c r="H202" s="746"/>
      <c r="I202" s="746"/>
      <c r="J202" s="746"/>
      <c r="K202" s="746"/>
      <c r="L202" s="746">
        <f>K202+I202+G202</f>
        <v>0</v>
      </c>
    </row>
    <row r="203" spans="1:17" s="433" customFormat="1" ht="15">
      <c r="A203" s="742"/>
      <c r="B203" s="743" t="s">
        <v>54</v>
      </c>
      <c r="C203" s="744" t="s">
        <v>2</v>
      </c>
      <c r="D203" s="766">
        <v>5.4600000000000003E-2</v>
      </c>
      <c r="E203" s="767">
        <f>D203*E198</f>
        <v>1.1629800000000001</v>
      </c>
      <c r="F203" s="746"/>
      <c r="G203" s="746">
        <f>E203*F203</f>
        <v>0</v>
      </c>
      <c r="H203" s="746"/>
      <c r="I203" s="746"/>
      <c r="J203" s="746"/>
      <c r="K203" s="746"/>
      <c r="L203" s="746">
        <f>K203+I203+G203</f>
        <v>0</v>
      </c>
    </row>
    <row r="204" spans="1:17" s="77" customFormat="1" ht="27">
      <c r="A204" s="757">
        <v>40</v>
      </c>
      <c r="B204" s="758" t="s">
        <v>405</v>
      </c>
      <c r="C204" s="738" t="s">
        <v>160</v>
      </c>
      <c r="D204" s="855"/>
      <c r="E204" s="977">
        <f>35.61-E198</f>
        <v>14.309999999999999</v>
      </c>
      <c r="F204" s="856"/>
      <c r="G204" s="857"/>
      <c r="H204" s="476"/>
      <c r="I204" s="477"/>
      <c r="J204" s="476"/>
      <c r="K204" s="477"/>
      <c r="L204" s="504"/>
      <c r="M204" s="206"/>
      <c r="N204" s="206"/>
      <c r="O204" s="298"/>
      <c r="P204" s="206"/>
      <c r="Q204" s="206"/>
    </row>
    <row r="205" spans="1:17" s="77" customFormat="1" ht="15.75">
      <c r="A205" s="742"/>
      <c r="B205" s="768" t="s">
        <v>76</v>
      </c>
      <c r="C205" s="886" t="s">
        <v>165</v>
      </c>
      <c r="D205" s="752">
        <v>1</v>
      </c>
      <c r="E205" s="753">
        <f>E204*D205</f>
        <v>14.309999999999999</v>
      </c>
      <c r="F205" s="753"/>
      <c r="G205" s="746"/>
      <c r="H205" s="746"/>
      <c r="I205" s="73">
        <f>H205*E205</f>
        <v>0</v>
      </c>
      <c r="J205" s="125"/>
      <c r="K205" s="73"/>
      <c r="L205" s="73">
        <f>K205+I205+G205</f>
        <v>0</v>
      </c>
      <c r="M205" s="206"/>
      <c r="N205" s="206"/>
      <c r="O205" s="298"/>
      <c r="P205" s="206"/>
      <c r="Q205" s="206"/>
    </row>
    <row r="206" spans="1:17" s="77" customFormat="1">
      <c r="A206" s="750"/>
      <c r="B206" s="768" t="s">
        <v>53</v>
      </c>
      <c r="C206" s="742" t="s">
        <v>2</v>
      </c>
      <c r="D206" s="752">
        <v>0.01</v>
      </c>
      <c r="E206" s="781">
        <f>D206*E204</f>
        <v>0.14309999999999998</v>
      </c>
      <c r="F206" s="794"/>
      <c r="G206" s="756"/>
      <c r="H206" s="104"/>
      <c r="I206" s="136"/>
      <c r="J206" s="104"/>
      <c r="K206" s="127">
        <f>J206*E206</f>
        <v>0</v>
      </c>
      <c r="L206" s="127">
        <f>K206+I206+G206</f>
        <v>0</v>
      </c>
      <c r="M206" s="206"/>
      <c r="N206" s="206"/>
      <c r="O206" s="298"/>
      <c r="P206" s="206"/>
      <c r="Q206" s="206"/>
    </row>
    <row r="207" spans="1:17" s="77" customFormat="1">
      <c r="A207" s="784"/>
      <c r="B207" s="763" t="s">
        <v>276</v>
      </c>
      <c r="C207" s="783" t="s">
        <v>60</v>
      </c>
      <c r="D207" s="854">
        <f>63/1.3*0.01</f>
        <v>0.48461538461538461</v>
      </c>
      <c r="E207" s="781">
        <f>D207*E204</f>
        <v>6.934846153846153</v>
      </c>
      <c r="F207" s="785"/>
      <c r="G207" s="746">
        <f>F207*E207</f>
        <v>0</v>
      </c>
      <c r="H207" s="166"/>
      <c r="I207" s="58"/>
      <c r="J207" s="166"/>
      <c r="K207" s="58"/>
      <c r="L207" s="73">
        <f>K207+I207+G207</f>
        <v>0</v>
      </c>
      <c r="M207" s="206"/>
      <c r="N207" s="266"/>
      <c r="O207" s="298"/>
      <c r="P207" s="206"/>
      <c r="Q207" s="206"/>
    </row>
    <row r="208" spans="1:17" s="77" customFormat="1">
      <c r="A208" s="784"/>
      <c r="B208" s="763" t="s">
        <v>92</v>
      </c>
      <c r="C208" s="853" t="s">
        <v>60</v>
      </c>
      <c r="D208" s="854">
        <v>0.63</v>
      </c>
      <c r="E208" s="781">
        <f>D208*E204</f>
        <v>9.0152999999999999</v>
      </c>
      <c r="F208" s="753"/>
      <c r="G208" s="756">
        <f>E208*F208</f>
        <v>0</v>
      </c>
      <c r="H208" s="135"/>
      <c r="I208" s="136"/>
      <c r="J208" s="135"/>
      <c r="K208" s="136"/>
      <c r="L208" s="73">
        <f>K208+I208+G208</f>
        <v>0</v>
      </c>
      <c r="M208" s="206"/>
      <c r="N208" s="266"/>
      <c r="O208" s="298"/>
      <c r="P208" s="206"/>
      <c r="Q208" s="206"/>
    </row>
    <row r="209" spans="1:17" s="77" customFormat="1">
      <c r="A209" s="750"/>
      <c r="B209" s="768" t="s">
        <v>54</v>
      </c>
      <c r="C209" s="744" t="s">
        <v>2</v>
      </c>
      <c r="D209" s="786">
        <v>1.6E-2</v>
      </c>
      <c r="E209" s="781">
        <f>D209*E204</f>
        <v>0.22896</v>
      </c>
      <c r="F209" s="781"/>
      <c r="G209" s="756">
        <f>E209*F209</f>
        <v>0</v>
      </c>
      <c r="H209" s="135"/>
      <c r="I209" s="136"/>
      <c r="J209" s="135"/>
      <c r="K209" s="136"/>
      <c r="L209" s="73">
        <f>K209+I209+G209</f>
        <v>0</v>
      </c>
      <c r="M209" s="206"/>
      <c r="N209" s="206"/>
      <c r="O209" s="298"/>
      <c r="P209" s="206"/>
      <c r="Q209" s="206"/>
    </row>
    <row r="210" spans="1:17" s="420" customFormat="1" ht="40.5">
      <c r="A210" s="653">
        <v>41</v>
      </c>
      <c r="B210" s="730" t="s">
        <v>404</v>
      </c>
      <c r="C210" s="731" t="s">
        <v>163</v>
      </c>
      <c r="D210" s="731"/>
      <c r="E210" s="732">
        <v>76.69</v>
      </c>
      <c r="F210" s="653"/>
      <c r="G210" s="733"/>
      <c r="H210" s="653"/>
      <c r="I210" s="733"/>
      <c r="J210" s="653"/>
      <c r="K210" s="733"/>
      <c r="L210" s="733"/>
    </row>
    <row r="211" spans="1:17" s="433" customFormat="1" ht="15.75">
      <c r="A211" s="655"/>
      <c r="B211" s="734" t="s">
        <v>45</v>
      </c>
      <c r="C211" s="877" t="s">
        <v>150</v>
      </c>
      <c r="D211" s="735">
        <v>1</v>
      </c>
      <c r="E211" s="1048">
        <f>D211*E210</f>
        <v>76.69</v>
      </c>
      <c r="F211" s="655"/>
      <c r="G211" s="634"/>
      <c r="H211" s="746"/>
      <c r="I211" s="634">
        <f>H211*E211</f>
        <v>0</v>
      </c>
      <c r="J211" s="655"/>
      <c r="K211" s="634"/>
      <c r="L211" s="634">
        <f>K211+I211+G211</f>
        <v>0</v>
      </c>
    </row>
    <row r="212" spans="1:17" s="433" customFormat="1" ht="15">
      <c r="A212" s="655"/>
      <c r="B212" s="734" t="s">
        <v>48</v>
      </c>
      <c r="C212" s="735" t="s">
        <v>2</v>
      </c>
      <c r="D212" s="736">
        <v>2.1000000000000001E-2</v>
      </c>
      <c r="E212" s="1049">
        <f>D212*E210</f>
        <v>1.61049</v>
      </c>
      <c r="F212" s="655"/>
      <c r="G212" s="634"/>
      <c r="H212" s="655"/>
      <c r="I212" s="634"/>
      <c r="J212" s="655"/>
      <c r="K212" s="634">
        <f>E212*J212</f>
        <v>0</v>
      </c>
      <c r="L212" s="634">
        <f>K212+I212+G212</f>
        <v>0</v>
      </c>
    </row>
    <row r="213" spans="1:17" s="433" customFormat="1" ht="15.75">
      <c r="A213" s="392"/>
      <c r="B213" s="482" t="s">
        <v>319</v>
      </c>
      <c r="C213" s="392" t="s">
        <v>166</v>
      </c>
      <c r="D213" s="483">
        <f>0.0189*1.05</f>
        <v>1.9845000000000002E-2</v>
      </c>
      <c r="E213" s="393">
        <f>D213*E210</f>
        <v>1.52191305</v>
      </c>
      <c r="F213" s="393"/>
      <c r="G213" s="393">
        <f>F213*E213</f>
        <v>0</v>
      </c>
      <c r="H213" s="393"/>
      <c r="I213" s="393"/>
      <c r="J213" s="393"/>
      <c r="K213" s="393"/>
      <c r="L213" s="393">
        <f>K213+I213+G213</f>
        <v>0</v>
      </c>
    </row>
    <row r="214" spans="1:17" s="80" customFormat="1" ht="27" customHeight="1">
      <c r="A214" s="347">
        <v>42</v>
      </c>
      <c r="B214" s="491" t="s">
        <v>381</v>
      </c>
      <c r="C214" s="347" t="s">
        <v>160</v>
      </c>
      <c r="D214" s="351"/>
      <c r="E214" s="352">
        <f>25.12*0.3</f>
        <v>7.5359999999999996</v>
      </c>
      <c r="F214" s="353"/>
      <c r="G214" s="354"/>
      <c r="H214" s="353"/>
      <c r="I214" s="354"/>
      <c r="J214" s="353"/>
      <c r="K214" s="354"/>
      <c r="L214" s="354"/>
      <c r="M214" s="307"/>
      <c r="N214" s="307"/>
      <c r="O214" s="355"/>
      <c r="P214" s="307"/>
      <c r="Q214" s="307"/>
    </row>
    <row r="215" spans="1:17" s="77" customFormat="1" ht="15.75">
      <c r="A215" s="117"/>
      <c r="B215" s="121" t="s">
        <v>76</v>
      </c>
      <c r="C215" s="630" t="s">
        <v>165</v>
      </c>
      <c r="D215" s="118">
        <v>1</v>
      </c>
      <c r="E215" s="124">
        <f>D215*E214</f>
        <v>7.5359999999999996</v>
      </c>
      <c r="F215" s="135"/>
      <c r="G215" s="136"/>
      <c r="H215" s="291"/>
      <c r="I215" s="127">
        <f>H215*E215</f>
        <v>0</v>
      </c>
      <c r="J215" s="135"/>
      <c r="K215" s="136"/>
      <c r="L215" s="127">
        <f t="shared" ref="L215:L220" si="16">K215+I215+G215</f>
        <v>0</v>
      </c>
      <c r="M215" s="206"/>
      <c r="N215" s="206"/>
      <c r="O215" s="298"/>
      <c r="P215" s="206"/>
      <c r="Q215" s="206"/>
    </row>
    <row r="216" spans="1:17" s="77" customFormat="1">
      <c r="A216" s="117"/>
      <c r="B216" s="121" t="s">
        <v>53</v>
      </c>
      <c r="C216" s="630" t="s">
        <v>70</v>
      </c>
      <c r="D216" s="631">
        <v>0.02</v>
      </c>
      <c r="E216" s="104">
        <f>D216*E214</f>
        <v>0.15071999999999999</v>
      </c>
      <c r="F216" s="178"/>
      <c r="G216" s="136"/>
      <c r="H216" s="104"/>
      <c r="I216" s="136"/>
      <c r="J216" s="104"/>
      <c r="K216" s="127">
        <f>J216*E216</f>
        <v>0</v>
      </c>
      <c r="L216" s="127">
        <f t="shared" si="16"/>
        <v>0</v>
      </c>
      <c r="M216" s="206"/>
      <c r="N216" s="52"/>
      <c r="O216" s="298"/>
      <c r="P216" s="206"/>
      <c r="Q216" s="206"/>
    </row>
    <row r="217" spans="1:17" s="77" customFormat="1" ht="25.15" customHeight="1">
      <c r="A217" s="117"/>
      <c r="B217" s="121" t="s">
        <v>290</v>
      </c>
      <c r="C217" s="630" t="s">
        <v>165</v>
      </c>
      <c r="D217" s="631">
        <v>1.02</v>
      </c>
      <c r="E217" s="104">
        <f>D217*E214</f>
        <v>7.6867199999999993</v>
      </c>
      <c r="F217" s="104"/>
      <c r="G217" s="127">
        <f>F217*E217</f>
        <v>0</v>
      </c>
      <c r="H217" s="104"/>
      <c r="I217" s="136"/>
      <c r="J217" s="135"/>
      <c r="K217" s="136"/>
      <c r="L217" s="127">
        <f t="shared" si="16"/>
        <v>0</v>
      </c>
      <c r="M217" s="206"/>
      <c r="N217" s="206"/>
      <c r="O217" s="298"/>
      <c r="P217" s="206"/>
      <c r="Q217" s="206"/>
    </row>
    <row r="218" spans="1:17" s="77" customFormat="1">
      <c r="A218" s="117"/>
      <c r="B218" s="177" t="s">
        <v>349</v>
      </c>
      <c r="C218" s="165" t="s">
        <v>60</v>
      </c>
      <c r="D218" s="631">
        <v>6.25</v>
      </c>
      <c r="E218" s="104">
        <f>D218*E214</f>
        <v>47.099999999999994</v>
      </c>
      <c r="F218" s="125"/>
      <c r="G218" s="127">
        <f>F218*E218</f>
        <v>0</v>
      </c>
      <c r="H218" s="104"/>
      <c r="I218" s="136"/>
      <c r="J218" s="135"/>
      <c r="K218" s="136"/>
      <c r="L218" s="127">
        <f t="shared" si="16"/>
        <v>0</v>
      </c>
      <c r="M218" s="206"/>
      <c r="N218" s="206"/>
      <c r="O218" s="298"/>
      <c r="P218" s="206"/>
      <c r="Q218" s="206"/>
    </row>
    <row r="219" spans="1:17" s="77" customFormat="1">
      <c r="A219" s="117"/>
      <c r="B219" s="176" t="s">
        <v>88</v>
      </c>
      <c r="C219" s="165" t="s">
        <v>60</v>
      </c>
      <c r="D219" s="631">
        <v>0.2</v>
      </c>
      <c r="E219" s="104">
        <f>D219*E214</f>
        <v>1.5072000000000001</v>
      </c>
      <c r="F219" s="125"/>
      <c r="G219" s="127">
        <f>F219*E219</f>
        <v>0</v>
      </c>
      <c r="H219" s="104"/>
      <c r="I219" s="136"/>
      <c r="J219" s="135"/>
      <c r="K219" s="136"/>
      <c r="L219" s="127">
        <f t="shared" si="16"/>
        <v>0</v>
      </c>
      <c r="M219" s="206"/>
      <c r="N219" s="206"/>
      <c r="O219" s="298"/>
      <c r="P219" s="206"/>
      <c r="Q219" s="206"/>
    </row>
    <row r="220" spans="1:17" s="77" customFormat="1">
      <c r="A220" s="117"/>
      <c r="B220" s="121" t="s">
        <v>54</v>
      </c>
      <c r="C220" s="630" t="s">
        <v>70</v>
      </c>
      <c r="D220" s="631">
        <v>7.0000000000000001E-3</v>
      </c>
      <c r="E220" s="104">
        <f>D220*E214</f>
        <v>5.2752E-2</v>
      </c>
      <c r="F220" s="104"/>
      <c r="G220" s="127">
        <f>F220*E220</f>
        <v>0</v>
      </c>
      <c r="H220" s="104"/>
      <c r="I220" s="136"/>
      <c r="J220" s="135"/>
      <c r="K220" s="136"/>
      <c r="L220" s="127">
        <f t="shared" si="16"/>
        <v>0</v>
      </c>
      <c r="M220" s="206"/>
      <c r="N220" s="206"/>
      <c r="O220" s="298"/>
      <c r="P220" s="206"/>
      <c r="Q220" s="206"/>
    </row>
    <row r="221" spans="1:17" s="479" customFormat="1" ht="43.9" customHeight="1">
      <c r="A221" s="403">
        <v>43</v>
      </c>
      <c r="B221" s="403" t="s">
        <v>402</v>
      </c>
      <c r="C221" s="403" t="s">
        <v>160</v>
      </c>
      <c r="D221" s="403"/>
      <c r="E221" s="478">
        <v>20</v>
      </c>
      <c r="F221" s="425"/>
      <c r="G221" s="425"/>
      <c r="H221" s="425"/>
      <c r="I221" s="425"/>
      <c r="J221" s="425"/>
      <c r="K221" s="425"/>
      <c r="L221" s="425"/>
    </row>
    <row r="222" spans="1:17" s="304" customFormat="1" ht="15.75">
      <c r="A222" s="978"/>
      <c r="B222" s="763" t="s">
        <v>55</v>
      </c>
      <c r="C222" s="742" t="s">
        <v>150</v>
      </c>
      <c r="D222" s="990">
        <v>1</v>
      </c>
      <c r="E222" s="980">
        <f>D222*E221</f>
        <v>20</v>
      </c>
      <c r="F222" s="983"/>
      <c r="G222" s="982"/>
      <c r="H222" s="981"/>
      <c r="I222" s="991">
        <f>H222*E222</f>
        <v>0</v>
      </c>
      <c r="J222" s="983"/>
      <c r="K222" s="982"/>
      <c r="L222" s="756">
        <f>K222+I222+G222</f>
        <v>0</v>
      </c>
      <c r="N222" s="302"/>
      <c r="O222" s="298"/>
    </row>
    <row r="223" spans="1:17" s="304" customFormat="1">
      <c r="A223" s="978"/>
      <c r="B223" s="763" t="s">
        <v>53</v>
      </c>
      <c r="C223" s="835" t="s">
        <v>2</v>
      </c>
      <c r="D223" s="990">
        <f>(1.12+13*0.28)/100</f>
        <v>4.7600000000000003E-2</v>
      </c>
      <c r="E223" s="981">
        <f>D223*E221</f>
        <v>0.95200000000000007</v>
      </c>
      <c r="F223" s="981"/>
      <c r="G223" s="991"/>
      <c r="H223" s="981"/>
      <c r="I223" s="982"/>
      <c r="J223" s="983"/>
      <c r="K223" s="992">
        <f>E223*J223</f>
        <v>0</v>
      </c>
      <c r="L223" s="756">
        <f>K223+I223+G223</f>
        <v>0</v>
      </c>
      <c r="N223" s="301"/>
      <c r="O223" s="298"/>
    </row>
    <row r="224" spans="1:17" s="304" customFormat="1" ht="15.75">
      <c r="A224" s="978"/>
      <c r="B224" s="763" t="s">
        <v>162</v>
      </c>
      <c r="C224" s="744" t="s">
        <v>151</v>
      </c>
      <c r="D224" s="990">
        <f>(2.04+13*0.51)/100</f>
        <v>8.6699999999999999E-2</v>
      </c>
      <c r="E224" s="980">
        <f>D224*E221</f>
        <v>1.734</v>
      </c>
      <c r="F224" s="417"/>
      <c r="G224" s="756">
        <f>F224*E224</f>
        <v>0</v>
      </c>
      <c r="H224" s="981"/>
      <c r="I224" s="982"/>
      <c r="J224" s="983"/>
      <c r="K224" s="982"/>
      <c r="L224" s="756">
        <f>K224+I224+G224</f>
        <v>0</v>
      </c>
      <c r="N224" s="301"/>
      <c r="O224" s="298"/>
    </row>
    <row r="225" spans="1:17" s="304" customFormat="1" ht="15.75">
      <c r="A225" s="978"/>
      <c r="B225" s="763" t="s">
        <v>413</v>
      </c>
      <c r="C225" s="742" t="s">
        <v>150</v>
      </c>
      <c r="D225" s="992">
        <v>1.03</v>
      </c>
      <c r="E225" s="980">
        <f>D225*20</f>
        <v>20.6</v>
      </c>
      <c r="F225" s="753"/>
      <c r="G225" s="756">
        <f>F225*E225</f>
        <v>0</v>
      </c>
      <c r="H225" s="981"/>
      <c r="I225" s="982"/>
      <c r="J225" s="983"/>
      <c r="K225" s="982"/>
      <c r="L225" s="756">
        <f>K225+I225+G225</f>
        <v>0</v>
      </c>
      <c r="N225" s="206"/>
      <c r="O225" s="298"/>
    </row>
    <row r="226" spans="1:17" s="304" customFormat="1">
      <c r="A226" s="978"/>
      <c r="B226" s="768" t="s">
        <v>54</v>
      </c>
      <c r="C226" s="744" t="s">
        <v>2</v>
      </c>
      <c r="D226" s="979">
        <v>6.3600000000000004E-2</v>
      </c>
      <c r="E226" s="980">
        <f>D226*E221</f>
        <v>1.272</v>
      </c>
      <c r="F226" s="981"/>
      <c r="G226" s="756">
        <f>F226*E226</f>
        <v>0</v>
      </c>
      <c r="H226" s="980"/>
      <c r="I226" s="982"/>
      <c r="J226" s="983"/>
      <c r="K226" s="982"/>
      <c r="L226" s="756">
        <f>K226+I226+G226</f>
        <v>0</v>
      </c>
      <c r="O226" s="298"/>
    </row>
    <row r="227" spans="1:17" s="479" customFormat="1" ht="27" customHeight="1">
      <c r="A227" s="403">
        <v>44</v>
      </c>
      <c r="B227" s="403" t="s">
        <v>347</v>
      </c>
      <c r="C227" s="403" t="s">
        <v>160</v>
      </c>
      <c r="D227" s="403"/>
      <c r="E227" s="478">
        <v>20</v>
      </c>
      <c r="F227" s="425"/>
      <c r="G227" s="425"/>
      <c r="H227" s="425"/>
      <c r="I227" s="425"/>
      <c r="J227" s="425"/>
      <c r="K227" s="425"/>
      <c r="L227" s="425"/>
    </row>
    <row r="228" spans="1:17" s="480" customFormat="1" ht="15.75">
      <c r="A228" s="392"/>
      <c r="B228" s="455" t="s">
        <v>45</v>
      </c>
      <c r="C228" s="877" t="s">
        <v>165</v>
      </c>
      <c r="D228" s="456">
        <v>1</v>
      </c>
      <c r="E228" s="458">
        <f>D228*E227</f>
        <v>20</v>
      </c>
      <c r="F228" s="393"/>
      <c r="G228" s="393"/>
      <c r="H228" s="393"/>
      <c r="I228" s="393">
        <f>H228*E228</f>
        <v>0</v>
      </c>
      <c r="J228" s="393"/>
      <c r="K228" s="393"/>
      <c r="L228" s="393">
        <f>K228+I228+G228</f>
        <v>0</v>
      </c>
    </row>
    <row r="229" spans="1:17" s="480" customFormat="1" ht="15">
      <c r="A229" s="392"/>
      <c r="B229" s="455" t="s">
        <v>53</v>
      </c>
      <c r="C229" s="456" t="s">
        <v>2</v>
      </c>
      <c r="D229" s="471">
        <f>(0.95+4*0.23)/100</f>
        <v>1.8700000000000001E-2</v>
      </c>
      <c r="E229" s="464">
        <f>D229*E227</f>
        <v>0.374</v>
      </c>
      <c r="F229" s="393"/>
      <c r="G229" s="393"/>
      <c r="H229" s="393"/>
      <c r="I229" s="393"/>
      <c r="J229" s="393"/>
      <c r="K229" s="393">
        <f>E229*J229</f>
        <v>0</v>
      </c>
      <c r="L229" s="393">
        <f>K229+I229+G229</f>
        <v>0</v>
      </c>
    </row>
    <row r="230" spans="1:17" s="480" customFormat="1" ht="15.75">
      <c r="A230" s="392"/>
      <c r="B230" s="482" t="s">
        <v>89</v>
      </c>
      <c r="C230" s="456" t="s">
        <v>151</v>
      </c>
      <c r="D230" s="483">
        <f>(2.04+4*0.51)/100</f>
        <v>4.0800000000000003E-2</v>
      </c>
      <c r="E230" s="393">
        <f>D230*E227</f>
        <v>0.81600000000000006</v>
      </c>
      <c r="F230" s="481"/>
      <c r="G230" s="393">
        <f>F230*E230</f>
        <v>0</v>
      </c>
      <c r="H230" s="393"/>
      <c r="I230" s="393"/>
      <c r="J230" s="393"/>
      <c r="K230" s="393"/>
      <c r="L230" s="393">
        <f>K230+I230+G230</f>
        <v>0</v>
      </c>
    </row>
    <row r="231" spans="1:17" s="480" customFormat="1" ht="15" customHeight="1">
      <c r="A231" s="392"/>
      <c r="B231" s="455" t="s">
        <v>54</v>
      </c>
      <c r="C231" s="456" t="s">
        <v>2</v>
      </c>
      <c r="D231" s="483">
        <v>6.3600000000000004E-2</v>
      </c>
      <c r="E231" s="393">
        <f>D231*E227</f>
        <v>1.272</v>
      </c>
      <c r="F231" s="393"/>
      <c r="G231" s="393">
        <f>F231*E231</f>
        <v>0</v>
      </c>
      <c r="H231" s="393"/>
      <c r="I231" s="393"/>
      <c r="J231" s="393"/>
      <c r="K231" s="393"/>
      <c r="L231" s="393">
        <f>K231+I231+G231</f>
        <v>0</v>
      </c>
    </row>
    <row r="232" spans="1:17" s="10" customFormat="1" ht="40.5">
      <c r="A232" s="347">
        <v>45</v>
      </c>
      <c r="B232" s="339" t="s">
        <v>348</v>
      </c>
      <c r="C232" s="347" t="s">
        <v>160</v>
      </c>
      <c r="D232" s="338"/>
      <c r="E232" s="478">
        <v>20</v>
      </c>
      <c r="F232" s="353"/>
      <c r="G232" s="354"/>
      <c r="H232" s="353"/>
      <c r="I232" s="354"/>
      <c r="J232" s="353"/>
      <c r="K232" s="354"/>
      <c r="L232" s="354"/>
      <c r="M232" s="220"/>
      <c r="N232" s="305"/>
      <c r="O232" s="298"/>
      <c r="P232" s="220"/>
      <c r="Q232" s="220"/>
    </row>
    <row r="233" spans="1:17" s="81" customFormat="1" ht="15.75">
      <c r="A233" s="877"/>
      <c r="B233" s="121" t="s">
        <v>45</v>
      </c>
      <c r="C233" s="877" t="s">
        <v>165</v>
      </c>
      <c r="D233" s="123">
        <v>1</v>
      </c>
      <c r="E233" s="124">
        <f>D233*E232</f>
        <v>20</v>
      </c>
      <c r="F233" s="125"/>
      <c r="G233" s="73"/>
      <c r="H233" s="291"/>
      <c r="I233" s="73">
        <f>H233*E233</f>
        <v>0</v>
      </c>
      <c r="J233" s="125"/>
      <c r="K233" s="73"/>
      <c r="L233" s="73">
        <f t="shared" ref="L233:L238" si="17">K233+I233+G233</f>
        <v>0</v>
      </c>
      <c r="M233" s="308"/>
      <c r="N233" s="305"/>
      <c r="O233" s="298"/>
      <c r="P233" s="308"/>
      <c r="Q233" s="308"/>
    </row>
    <row r="234" spans="1:17" s="81" customFormat="1">
      <c r="A234" s="877"/>
      <c r="B234" s="121" t="s">
        <v>53</v>
      </c>
      <c r="C234" s="122" t="s">
        <v>2</v>
      </c>
      <c r="D234" s="133">
        <v>4.5199999999999997E-2</v>
      </c>
      <c r="E234" s="134">
        <f>D234*E232</f>
        <v>0.90399999999999991</v>
      </c>
      <c r="F234" s="125"/>
      <c r="G234" s="73"/>
      <c r="H234" s="125"/>
      <c r="I234" s="73"/>
      <c r="J234" s="125"/>
      <c r="K234" s="73">
        <f>E234*J234</f>
        <v>0</v>
      </c>
      <c r="L234" s="73">
        <f t="shared" si="17"/>
        <v>0</v>
      </c>
      <c r="M234" s="308"/>
      <c r="N234" s="304"/>
      <c r="O234" s="298"/>
      <c r="P234" s="308"/>
      <c r="Q234" s="308"/>
    </row>
    <row r="235" spans="1:17" s="77" customFormat="1">
      <c r="A235" s="117"/>
      <c r="B235" s="121" t="s">
        <v>321</v>
      </c>
      <c r="D235" s="133">
        <v>1.02</v>
      </c>
      <c r="E235" s="104">
        <f>D235*E232</f>
        <v>20.399999999999999</v>
      </c>
      <c r="F235" s="104"/>
      <c r="G235" s="127">
        <f>F235*E235</f>
        <v>0</v>
      </c>
      <c r="H235" s="104"/>
      <c r="I235" s="136"/>
      <c r="J235" s="135"/>
      <c r="K235" s="136"/>
      <c r="L235" s="127">
        <f t="shared" si="17"/>
        <v>0</v>
      </c>
      <c r="M235" s="206"/>
      <c r="N235" s="304"/>
      <c r="O235" s="298"/>
      <c r="P235" s="206"/>
      <c r="Q235" s="206"/>
    </row>
    <row r="236" spans="1:17" s="23" customFormat="1" ht="15">
      <c r="A236" s="515"/>
      <c r="B236" s="177" t="s">
        <v>349</v>
      </c>
      <c r="C236" s="165" t="s">
        <v>60</v>
      </c>
      <c r="D236" s="631">
        <v>6.25</v>
      </c>
      <c r="E236" s="104">
        <f>D236*E232</f>
        <v>125</v>
      </c>
      <c r="F236" s="125"/>
      <c r="G236" s="73">
        <f>F236*E236</f>
        <v>0</v>
      </c>
      <c r="H236" s="125"/>
      <c r="I236" s="73"/>
      <c r="J236" s="125"/>
      <c r="K236" s="73"/>
      <c r="L236" s="73">
        <f t="shared" si="17"/>
        <v>0</v>
      </c>
      <c r="M236" s="45"/>
      <c r="N236" s="220"/>
      <c r="O236" s="298"/>
      <c r="P236" s="45"/>
      <c r="Q236" s="45"/>
    </row>
    <row r="237" spans="1:17" s="23" customFormat="1" ht="15">
      <c r="A237" s="515"/>
      <c r="B237" s="176" t="s">
        <v>90</v>
      </c>
      <c r="C237" s="165" t="s">
        <v>60</v>
      </c>
      <c r="D237" s="631">
        <v>0.2</v>
      </c>
      <c r="E237" s="104">
        <f>D237*E232</f>
        <v>4</v>
      </c>
      <c r="F237" s="125"/>
      <c r="G237" s="73">
        <f>F237*E237</f>
        <v>0</v>
      </c>
      <c r="H237" s="125"/>
      <c r="I237" s="73"/>
      <c r="J237" s="125"/>
      <c r="K237" s="73"/>
      <c r="L237" s="73">
        <f t="shared" si="17"/>
        <v>0</v>
      </c>
      <c r="M237" s="45"/>
      <c r="N237" s="308"/>
      <c r="O237" s="298"/>
      <c r="P237" s="45"/>
      <c r="Q237" s="45"/>
    </row>
    <row r="238" spans="1:17" s="78" customFormat="1">
      <c r="A238" s="159"/>
      <c r="B238" s="121" t="s">
        <v>54</v>
      </c>
      <c r="C238" s="122" t="s">
        <v>2</v>
      </c>
      <c r="D238" s="163">
        <v>4.6600000000000003E-2</v>
      </c>
      <c r="E238" s="164">
        <f>D238*E232</f>
        <v>0.93200000000000005</v>
      </c>
      <c r="F238" s="160"/>
      <c r="G238" s="127">
        <f>F238*E238</f>
        <v>0</v>
      </c>
      <c r="H238" s="164"/>
      <c r="I238" s="161"/>
      <c r="J238" s="162"/>
      <c r="K238" s="161"/>
      <c r="L238" s="127">
        <f t="shared" si="17"/>
        <v>0</v>
      </c>
      <c r="M238" s="304"/>
      <c r="N238" s="308"/>
      <c r="O238" s="298"/>
      <c r="P238" s="304"/>
      <c r="Q238" s="304"/>
    </row>
    <row r="239" spans="1:17" s="1024" customFormat="1" ht="25.5">
      <c r="A239" s="1018">
        <v>46</v>
      </c>
      <c r="B239" s="1019" t="s">
        <v>442</v>
      </c>
      <c r="C239" s="1020" t="s">
        <v>443</v>
      </c>
      <c r="D239" s="1021"/>
      <c r="E239" s="1022">
        <v>76.69</v>
      </c>
      <c r="F239" s="1018"/>
      <c r="G239" s="1023"/>
      <c r="H239" s="1018"/>
      <c r="I239" s="1023"/>
      <c r="J239" s="1018"/>
      <c r="K239" s="1018"/>
      <c r="L239" s="1023"/>
    </row>
    <row r="240" spans="1:17" s="1028" customFormat="1" ht="15.75">
      <c r="A240" s="1025"/>
      <c r="B240" s="743" t="s">
        <v>45</v>
      </c>
      <c r="C240" s="742" t="s">
        <v>150</v>
      </c>
      <c r="D240" s="1026">
        <v>1</v>
      </c>
      <c r="E240" s="1050">
        <f>D240*E239</f>
        <v>76.69</v>
      </c>
      <c r="F240" s="1025"/>
      <c r="G240" s="1027"/>
      <c r="H240" s="1025"/>
      <c r="I240" s="1027">
        <f>H240*E240</f>
        <v>0</v>
      </c>
      <c r="J240" s="1025"/>
      <c r="K240" s="1027"/>
      <c r="L240" s="1027">
        <f t="shared" ref="L240:L245" si="18">K240+I240+G240</f>
        <v>0</v>
      </c>
      <c r="O240" s="1028">
        <v>342.5</v>
      </c>
    </row>
    <row r="241" spans="1:17" s="422" customFormat="1">
      <c r="A241" s="784"/>
      <c r="B241" s="743" t="s">
        <v>53</v>
      </c>
      <c r="C241" s="744" t="s">
        <v>2</v>
      </c>
      <c r="D241" s="792">
        <v>0.08</v>
      </c>
      <c r="E241" s="767">
        <f>D241*E239</f>
        <v>6.1352000000000002</v>
      </c>
      <c r="F241" s="746"/>
      <c r="G241" s="746"/>
      <c r="H241" s="746"/>
      <c r="I241" s="746"/>
      <c r="J241" s="746"/>
      <c r="K241" s="746">
        <f>E241*J241</f>
        <v>0</v>
      </c>
      <c r="L241" s="746">
        <f t="shared" si="18"/>
        <v>0</v>
      </c>
    </row>
    <row r="242" spans="1:17" s="1028" customFormat="1" ht="12.75">
      <c r="A242" s="1025"/>
      <c r="B242" s="1029" t="s">
        <v>71</v>
      </c>
      <c r="C242" s="1025" t="s">
        <v>444</v>
      </c>
      <c r="D242" s="1030">
        <v>1.5E-3</v>
      </c>
      <c r="E242" s="1051">
        <f>D242*E239</f>
        <v>0.115035</v>
      </c>
      <c r="F242" s="1027"/>
      <c r="G242" s="1027">
        <f>F242*E242</f>
        <v>0</v>
      </c>
      <c r="H242" s="1027"/>
      <c r="I242" s="1027"/>
      <c r="J242" s="1027"/>
      <c r="K242" s="1027"/>
      <c r="L242" s="1027">
        <f t="shared" si="18"/>
        <v>0</v>
      </c>
      <c r="O242" s="1028">
        <v>38.313559322033903</v>
      </c>
    </row>
    <row r="243" spans="1:17" s="1028" customFormat="1" ht="15">
      <c r="A243" s="1025"/>
      <c r="B243" s="1029" t="s">
        <v>138</v>
      </c>
      <c r="C243" s="1025" t="s">
        <v>445</v>
      </c>
      <c r="D243" s="1030">
        <v>1.5E-3</v>
      </c>
      <c r="E243" s="1052">
        <f>D243*E239</f>
        <v>0.115035</v>
      </c>
      <c r="F243" s="1027"/>
      <c r="G243" s="1027">
        <f>F243*E243</f>
        <v>0</v>
      </c>
      <c r="H243" s="1027"/>
      <c r="I243" s="1027"/>
      <c r="J243" s="1027"/>
      <c r="K243" s="1027"/>
      <c r="L243" s="1027">
        <f t="shared" si="18"/>
        <v>0</v>
      </c>
      <c r="O243" s="1028">
        <v>7.8090000000000011</v>
      </c>
    </row>
    <row r="244" spans="1:17" s="1028" customFormat="1" ht="12.75">
      <c r="A244" s="1025"/>
      <c r="B244" s="1029" t="s">
        <v>446</v>
      </c>
      <c r="C244" s="1031" t="s">
        <v>60</v>
      </c>
      <c r="D244" s="1030">
        <v>0.106</v>
      </c>
      <c r="E244" s="1052">
        <f>D244*E239</f>
        <v>8.1291399999999996</v>
      </c>
      <c r="F244" s="1027"/>
      <c r="G244" s="1027">
        <f>F244*E244</f>
        <v>0</v>
      </c>
      <c r="H244" s="1027"/>
      <c r="I244" s="1027"/>
      <c r="J244" s="1027"/>
      <c r="K244" s="1027"/>
      <c r="L244" s="1027">
        <f t="shared" si="18"/>
        <v>0</v>
      </c>
      <c r="O244" s="1028">
        <v>60.992400000000004</v>
      </c>
    </row>
    <row r="245" spans="1:17" s="420" customFormat="1" ht="15">
      <c r="A245" s="742"/>
      <c r="B245" s="747" t="s">
        <v>54</v>
      </c>
      <c r="C245" s="744" t="s">
        <v>2</v>
      </c>
      <c r="D245" s="905">
        <v>4.1999999999999997E-3</v>
      </c>
      <c r="E245" s="1053">
        <f>D245*E239</f>
        <v>0.322098</v>
      </c>
      <c r="F245" s="746"/>
      <c r="G245" s="746">
        <f>F245*E245</f>
        <v>0</v>
      </c>
      <c r="H245" s="746"/>
      <c r="I245" s="746"/>
      <c r="J245" s="746"/>
      <c r="K245" s="746"/>
      <c r="L245" s="746">
        <f t="shared" si="18"/>
        <v>0</v>
      </c>
      <c r="N245" s="1032"/>
    </row>
    <row r="246" spans="1:17" s="519" customFormat="1" ht="27">
      <c r="A246" s="984">
        <v>47</v>
      </c>
      <c r="B246" s="848" t="s">
        <v>406</v>
      </c>
      <c r="C246" s="347" t="s">
        <v>160</v>
      </c>
      <c r="D246" s="985"/>
      <c r="E246" s="986">
        <v>76.69</v>
      </c>
      <c r="F246" s="987"/>
      <c r="G246" s="788"/>
      <c r="H246" s="986"/>
      <c r="I246" s="988"/>
      <c r="J246" s="989"/>
      <c r="K246" s="988"/>
      <c r="L246" s="788"/>
      <c r="M246" s="517"/>
      <c r="N246" s="518"/>
      <c r="O246" s="355"/>
      <c r="P246" s="517"/>
      <c r="Q246" s="517"/>
    </row>
    <row r="247" spans="1:17" s="81" customFormat="1" ht="15.75">
      <c r="A247" s="971"/>
      <c r="B247" s="121" t="s">
        <v>45</v>
      </c>
      <c r="C247" s="971" t="s">
        <v>165</v>
      </c>
      <c r="D247" s="123">
        <v>1</v>
      </c>
      <c r="E247" s="124">
        <f>D247*E246</f>
        <v>76.69</v>
      </c>
      <c r="F247" s="125"/>
      <c r="G247" s="73"/>
      <c r="H247" s="746"/>
      <c r="I247" s="73">
        <f>H247*E247</f>
        <v>0</v>
      </c>
      <c r="J247" s="125"/>
      <c r="K247" s="73"/>
      <c r="L247" s="73">
        <f t="shared" ref="L247:L250" si="19">K247+I247+G247</f>
        <v>0</v>
      </c>
      <c r="M247" s="308"/>
      <c r="N247" s="305"/>
      <c r="O247" s="298"/>
      <c r="P247" s="308"/>
      <c r="Q247" s="308"/>
    </row>
    <row r="248" spans="1:17" s="81" customFormat="1">
      <c r="A248" s="971"/>
      <c r="B248" s="121" t="s">
        <v>53</v>
      </c>
      <c r="C248" s="122" t="s">
        <v>2</v>
      </c>
      <c r="D248" s="133">
        <v>7.0000000000000001E-3</v>
      </c>
      <c r="E248" s="134">
        <f>D248*E246</f>
        <v>0.53683000000000003</v>
      </c>
      <c r="F248" s="125"/>
      <c r="G248" s="73"/>
      <c r="H248" s="125"/>
      <c r="I248" s="73"/>
      <c r="J248" s="125"/>
      <c r="K248" s="73">
        <f>E248*J248</f>
        <v>0</v>
      </c>
      <c r="L248" s="73">
        <f t="shared" si="19"/>
        <v>0</v>
      </c>
      <c r="M248" s="308"/>
      <c r="N248" s="304"/>
      <c r="O248" s="298"/>
      <c r="P248" s="308"/>
      <c r="Q248" s="308"/>
    </row>
    <row r="249" spans="1:17" s="78" customFormat="1">
      <c r="A249" s="978"/>
      <c r="B249" s="768" t="s">
        <v>407</v>
      </c>
      <c r="C249" s="744" t="s">
        <v>60</v>
      </c>
      <c r="D249" s="979">
        <v>0.59</v>
      </c>
      <c r="E249" s="980">
        <f>D249*E246</f>
        <v>45.247099999999996</v>
      </c>
      <c r="F249" s="981"/>
      <c r="G249" s="127">
        <f t="shared" ref="G249:G250" si="20">F249*E249</f>
        <v>0</v>
      </c>
      <c r="H249" s="164"/>
      <c r="I249" s="161"/>
      <c r="J249" s="162"/>
      <c r="K249" s="161"/>
      <c r="L249" s="127">
        <f t="shared" si="19"/>
        <v>0</v>
      </c>
      <c r="M249" s="304"/>
      <c r="N249" s="308"/>
      <c r="O249" s="298"/>
      <c r="P249" s="304"/>
      <c r="Q249" s="304"/>
    </row>
    <row r="250" spans="1:17" s="78" customFormat="1">
      <c r="A250" s="978"/>
      <c r="B250" s="768" t="s">
        <v>408</v>
      </c>
      <c r="C250" s="744" t="s">
        <v>60</v>
      </c>
      <c r="D250" s="979">
        <v>0.15</v>
      </c>
      <c r="E250" s="980">
        <f>D250*E246</f>
        <v>11.503499999999999</v>
      </c>
      <c r="F250" s="981"/>
      <c r="G250" s="127">
        <f t="shared" si="20"/>
        <v>0</v>
      </c>
      <c r="H250" s="164"/>
      <c r="I250" s="161"/>
      <c r="J250" s="162"/>
      <c r="K250" s="161"/>
      <c r="L250" s="127">
        <f t="shared" si="19"/>
        <v>0</v>
      </c>
      <c r="M250" s="304"/>
      <c r="N250" s="308"/>
      <c r="O250" s="298"/>
      <c r="P250" s="304"/>
      <c r="Q250" s="304"/>
    </row>
    <row r="251" spans="1:17" s="78" customFormat="1">
      <c r="A251" s="159"/>
      <c r="B251" s="121" t="s">
        <v>54</v>
      </c>
      <c r="C251" s="122" t="s">
        <v>2</v>
      </c>
      <c r="D251" s="163">
        <v>3.3999999999999998E-3</v>
      </c>
      <c r="E251" s="164">
        <f>D251*E246</f>
        <v>0.26074599999999998</v>
      </c>
      <c r="F251" s="160"/>
      <c r="G251" s="127">
        <f>F251*E251</f>
        <v>0</v>
      </c>
      <c r="H251" s="164"/>
      <c r="I251" s="161"/>
      <c r="J251" s="162"/>
      <c r="K251" s="161"/>
      <c r="L251" s="127">
        <f t="shared" ref="L251" si="21">K251+I251+G251</f>
        <v>0</v>
      </c>
      <c r="M251" s="304"/>
      <c r="N251" s="308"/>
      <c r="O251" s="298"/>
      <c r="P251" s="304"/>
      <c r="Q251" s="304"/>
    </row>
    <row r="252" spans="1:17" s="197" customFormat="1" ht="16.5" customHeight="1">
      <c r="A252" s="337"/>
      <c r="B252" s="339" t="s">
        <v>93</v>
      </c>
      <c r="C252" s="340"/>
      <c r="D252" s="341"/>
      <c r="E252" s="342"/>
      <c r="F252" s="342"/>
      <c r="G252" s="344">
        <f>SUM(G10:G251)</f>
        <v>0</v>
      </c>
      <c r="H252" s="342"/>
      <c r="I252" s="344">
        <f>SUM(I10:I251)</f>
        <v>0</v>
      </c>
      <c r="J252" s="343"/>
      <c r="K252" s="344">
        <f>SUM(K10:K251)</f>
        <v>0</v>
      </c>
      <c r="L252" s="344">
        <f>SUM(L10:L251)</f>
        <v>0</v>
      </c>
      <c r="O252" s="298"/>
    </row>
    <row r="253" spans="1:17" s="197" customFormat="1" ht="16.5" customHeight="1">
      <c r="A253" s="750"/>
      <c r="B253" s="763" t="s">
        <v>356</v>
      </c>
      <c r="C253" s="899">
        <v>0.05</v>
      </c>
      <c r="D253" s="752"/>
      <c r="E253" s="753"/>
      <c r="F253" s="753"/>
      <c r="G253" s="756"/>
      <c r="H253" s="753"/>
      <c r="I253" s="756"/>
      <c r="J253" s="755"/>
      <c r="K253" s="756"/>
      <c r="L253" s="756">
        <f>G252*C253</f>
        <v>0</v>
      </c>
      <c r="O253" s="298"/>
    </row>
    <row r="254" spans="1:17" s="197" customFormat="1" ht="16.5" customHeight="1">
      <c r="A254" s="750"/>
      <c r="B254" s="129" t="s">
        <v>21</v>
      </c>
      <c r="C254" s="742"/>
      <c r="D254" s="752"/>
      <c r="E254" s="753"/>
      <c r="F254" s="753"/>
      <c r="G254" s="756"/>
      <c r="H254" s="753"/>
      <c r="I254" s="756"/>
      <c r="J254" s="755"/>
      <c r="K254" s="756"/>
      <c r="L254" s="900">
        <f>L252+L253</f>
        <v>0</v>
      </c>
      <c r="O254" s="298"/>
    </row>
    <row r="255" spans="1:17" s="311" customFormat="1" ht="15">
      <c r="A255" s="149"/>
      <c r="B255" s="126" t="s">
        <v>94</v>
      </c>
      <c r="C255" s="131" t="s">
        <v>95</v>
      </c>
      <c r="D255" s="118"/>
      <c r="E255" s="104"/>
      <c r="F255" s="104"/>
      <c r="G255" s="127"/>
      <c r="H255" s="104"/>
      <c r="I255" s="104"/>
      <c r="J255" s="104"/>
      <c r="K255" s="127"/>
      <c r="L255" s="127">
        <f>(L254)*C255</f>
        <v>0</v>
      </c>
      <c r="N255" s="197"/>
      <c r="O255" s="298"/>
    </row>
    <row r="256" spans="1:17" s="312" customFormat="1">
      <c r="A256" s="149"/>
      <c r="B256" s="129" t="s">
        <v>21</v>
      </c>
      <c r="C256" s="158"/>
      <c r="D256" s="132"/>
      <c r="E256" s="137"/>
      <c r="F256" s="137"/>
      <c r="G256" s="138"/>
      <c r="H256" s="137"/>
      <c r="I256" s="137"/>
      <c r="J256" s="137"/>
      <c r="K256" s="138"/>
      <c r="L256" s="138">
        <f>L255+L254</f>
        <v>0</v>
      </c>
      <c r="O256" s="298"/>
    </row>
    <row r="257" spans="1:15" s="311" customFormat="1">
      <c r="A257" s="149"/>
      <c r="B257" s="126" t="s">
        <v>97</v>
      </c>
      <c r="C257" s="131" t="s">
        <v>96</v>
      </c>
      <c r="D257" s="118"/>
      <c r="E257" s="104"/>
      <c r="F257" s="104"/>
      <c r="G257" s="127"/>
      <c r="H257" s="104"/>
      <c r="I257" s="104"/>
      <c r="J257" s="104"/>
      <c r="K257" s="127"/>
      <c r="L257" s="127">
        <f>L256*C257</f>
        <v>0</v>
      </c>
      <c r="O257" s="298"/>
    </row>
    <row r="258" spans="1:15" s="310" customFormat="1">
      <c r="A258" s="149"/>
      <c r="B258" s="56" t="s">
        <v>22</v>
      </c>
      <c r="C258" s="330"/>
      <c r="D258" s="132"/>
      <c r="E258" s="137"/>
      <c r="F258" s="137"/>
      <c r="G258" s="138"/>
      <c r="H258" s="137"/>
      <c r="I258" s="137"/>
      <c r="J258" s="137"/>
      <c r="K258" s="138"/>
      <c r="L258" s="138">
        <f>SUM(L256:L257)</f>
        <v>0</v>
      </c>
      <c r="O258" s="298"/>
    </row>
    <row r="259" spans="1:15">
      <c r="C259" s="183"/>
      <c r="D259" s="184"/>
      <c r="E259" s="185"/>
      <c r="F259" s="186"/>
      <c r="G259" s="69"/>
      <c r="H259" s="186"/>
      <c r="I259" s="186"/>
      <c r="J259" s="186"/>
      <c r="K259" s="186"/>
      <c r="L259" s="185"/>
    </row>
    <row r="260" spans="1:15">
      <c r="B260" s="61"/>
      <c r="C260" s="53"/>
      <c r="D260" s="187"/>
      <c r="E260" s="188"/>
      <c r="F260" s="188"/>
      <c r="G260" s="189"/>
      <c r="H260" s="190"/>
      <c r="I260" s="190"/>
      <c r="J260" s="190"/>
      <c r="K260" s="190"/>
      <c r="L260" s="186"/>
    </row>
    <row r="261" spans="1:15" ht="41.25" customHeight="1">
      <c r="B261" s="61"/>
      <c r="C261" s="61"/>
      <c r="D261" s="191"/>
      <c r="E261" s="188"/>
      <c r="F261" s="188"/>
      <c r="G261" s="62"/>
      <c r="H261" s="192"/>
      <c r="I261" s="192"/>
      <c r="J261" s="192"/>
      <c r="K261" s="192"/>
      <c r="L261" s="185"/>
    </row>
    <row r="262" spans="1:15" ht="20.25" customHeight="1">
      <c r="B262" s="61"/>
      <c r="C262" s="61"/>
      <c r="D262" s="191"/>
      <c r="E262" s="188"/>
      <c r="F262" s="188"/>
      <c r="G262" s="62"/>
      <c r="H262" s="193"/>
      <c r="I262" s="193"/>
      <c r="J262" s="193"/>
      <c r="K262" s="193"/>
      <c r="L262" s="185"/>
    </row>
    <row r="263" spans="1:15">
      <c r="D263" s="184"/>
      <c r="E263" s="185"/>
      <c r="F263" s="185"/>
      <c r="G263" s="194"/>
      <c r="H263" s="185"/>
      <c r="I263" s="185"/>
      <c r="J263" s="185"/>
      <c r="K263" s="185"/>
      <c r="L263" s="185"/>
    </row>
    <row r="264" spans="1:15">
      <c r="D264" s="184"/>
      <c r="E264" s="185"/>
      <c r="F264" s="185"/>
      <c r="G264" s="194"/>
      <c r="H264" s="185"/>
      <c r="I264" s="185"/>
      <c r="J264" s="185"/>
      <c r="K264" s="185"/>
      <c r="L264" s="185"/>
    </row>
    <row r="265" spans="1:15">
      <c r="D265" s="184"/>
      <c r="E265" s="185"/>
      <c r="F265" s="185"/>
      <c r="G265" s="194"/>
      <c r="H265" s="185"/>
      <c r="I265" s="185"/>
      <c r="J265" s="185"/>
      <c r="K265" s="185"/>
      <c r="L265" s="185"/>
    </row>
    <row r="266" spans="1:15">
      <c r="D266" s="184"/>
      <c r="E266" s="185"/>
      <c r="F266" s="185"/>
      <c r="G266" s="194"/>
      <c r="H266" s="185"/>
      <c r="I266" s="185"/>
      <c r="J266" s="185"/>
      <c r="K266" s="185"/>
      <c r="L266" s="185"/>
    </row>
    <row r="267" spans="1:15">
      <c r="D267" s="184"/>
      <c r="E267" s="185"/>
      <c r="F267" s="185"/>
      <c r="G267" s="194"/>
      <c r="H267" s="185"/>
      <c r="I267" s="185"/>
      <c r="J267" s="185"/>
      <c r="K267" s="185"/>
      <c r="L267" s="185"/>
    </row>
    <row r="268" spans="1:15">
      <c r="D268" s="184"/>
      <c r="E268" s="185"/>
      <c r="F268" s="185"/>
      <c r="G268" s="194"/>
      <c r="H268" s="185"/>
      <c r="I268" s="185"/>
      <c r="J268" s="185"/>
      <c r="K268" s="185"/>
      <c r="L268" s="185"/>
    </row>
    <row r="269" spans="1:15">
      <c r="D269" s="184"/>
      <c r="E269" s="185"/>
      <c r="F269" s="185"/>
      <c r="G269" s="194"/>
      <c r="H269" s="185"/>
      <c r="I269" s="185"/>
      <c r="J269" s="185"/>
      <c r="K269" s="185"/>
      <c r="L269" s="185"/>
    </row>
    <row r="270" spans="1:15">
      <c r="D270" s="184"/>
      <c r="E270" s="185"/>
      <c r="F270" s="185"/>
      <c r="G270" s="194"/>
      <c r="H270" s="185"/>
      <c r="I270" s="185"/>
      <c r="J270" s="185"/>
      <c r="K270" s="185"/>
      <c r="L270" s="185"/>
    </row>
    <row r="271" spans="1:15">
      <c r="D271" s="184"/>
      <c r="E271" s="185"/>
      <c r="F271" s="185"/>
      <c r="G271" s="194"/>
      <c r="H271" s="185"/>
      <c r="I271" s="185"/>
      <c r="J271" s="185"/>
      <c r="K271" s="185"/>
      <c r="L271" s="185"/>
    </row>
    <row r="272" spans="1:15">
      <c r="D272" s="184"/>
      <c r="E272" s="185"/>
      <c r="F272" s="185"/>
      <c r="G272" s="194"/>
      <c r="H272" s="185"/>
      <c r="I272" s="185"/>
      <c r="J272" s="185"/>
      <c r="K272" s="185"/>
      <c r="L272" s="185"/>
    </row>
    <row r="273" spans="4:12">
      <c r="D273" s="184"/>
      <c r="E273" s="185"/>
      <c r="F273" s="185"/>
      <c r="G273" s="194"/>
      <c r="H273" s="185"/>
      <c r="I273" s="185"/>
      <c r="J273" s="185"/>
      <c r="K273" s="185"/>
      <c r="L273" s="185"/>
    </row>
    <row r="274" spans="4:12">
      <c r="D274" s="184"/>
      <c r="E274" s="185"/>
      <c r="F274" s="185"/>
      <c r="G274" s="194"/>
      <c r="H274" s="185"/>
      <c r="I274" s="185"/>
      <c r="J274" s="185"/>
      <c r="K274" s="185"/>
      <c r="L274" s="185"/>
    </row>
    <row r="275" spans="4:12">
      <c r="D275" s="184"/>
      <c r="E275" s="185"/>
      <c r="F275" s="185"/>
      <c r="G275" s="194"/>
      <c r="H275" s="185"/>
      <c r="I275" s="185"/>
      <c r="J275" s="185"/>
      <c r="K275" s="185"/>
      <c r="L275" s="185"/>
    </row>
    <row r="276" spans="4:12">
      <c r="D276" s="184"/>
      <c r="E276" s="185"/>
      <c r="F276" s="185"/>
      <c r="G276" s="194"/>
      <c r="H276" s="185"/>
      <c r="I276" s="185"/>
      <c r="J276" s="185"/>
      <c r="K276" s="185"/>
      <c r="L276" s="185"/>
    </row>
    <row r="277" spans="4:12">
      <c r="D277" s="184"/>
      <c r="E277" s="185"/>
      <c r="F277" s="185"/>
      <c r="G277" s="194"/>
      <c r="H277" s="185"/>
      <c r="I277" s="185"/>
      <c r="J277" s="185"/>
      <c r="K277" s="185"/>
      <c r="L277" s="185"/>
    </row>
    <row r="278" spans="4:12">
      <c r="D278" s="184"/>
      <c r="E278" s="185"/>
      <c r="F278" s="185"/>
      <c r="G278" s="194"/>
      <c r="H278" s="185"/>
      <c r="I278" s="185"/>
      <c r="J278" s="185"/>
      <c r="K278" s="185"/>
      <c r="L278" s="185"/>
    </row>
    <row r="279" spans="4:12">
      <c r="D279" s="184"/>
      <c r="E279" s="185"/>
      <c r="F279" s="185"/>
      <c r="G279" s="194"/>
      <c r="H279" s="185"/>
      <c r="I279" s="185"/>
      <c r="J279" s="185"/>
      <c r="K279" s="185"/>
      <c r="L279" s="185"/>
    </row>
    <row r="280" spans="4:12">
      <c r="D280" s="184"/>
      <c r="E280" s="185"/>
      <c r="F280" s="185"/>
      <c r="G280" s="194"/>
      <c r="H280" s="185"/>
      <c r="I280" s="185"/>
      <c r="J280" s="185"/>
      <c r="K280" s="185"/>
      <c r="L280" s="185"/>
    </row>
    <row r="281" spans="4:12">
      <c r="D281" s="184"/>
      <c r="E281" s="185"/>
      <c r="F281" s="185"/>
      <c r="G281" s="194"/>
      <c r="H281" s="185"/>
      <c r="I281" s="185"/>
      <c r="J281" s="185"/>
      <c r="K281" s="185"/>
      <c r="L281" s="185"/>
    </row>
    <row r="282" spans="4:12">
      <c r="D282" s="184"/>
      <c r="E282" s="185"/>
      <c r="F282" s="185"/>
      <c r="G282" s="194"/>
      <c r="H282" s="185"/>
      <c r="I282" s="185"/>
      <c r="J282" s="185"/>
      <c r="K282" s="185"/>
      <c r="L282" s="185"/>
    </row>
    <row r="283" spans="4:12">
      <c r="D283" s="184"/>
      <c r="E283" s="185"/>
      <c r="F283" s="185"/>
      <c r="G283" s="194"/>
      <c r="H283" s="185"/>
      <c r="I283" s="185"/>
      <c r="J283" s="185"/>
      <c r="K283" s="185"/>
      <c r="L283" s="185"/>
    </row>
    <row r="284" spans="4:12">
      <c r="D284" s="184"/>
      <c r="E284" s="185"/>
      <c r="F284" s="185"/>
      <c r="G284" s="194"/>
      <c r="H284" s="185"/>
      <c r="I284" s="185"/>
      <c r="J284" s="185"/>
      <c r="K284" s="185"/>
      <c r="L284" s="185"/>
    </row>
    <row r="285" spans="4:12">
      <c r="E285" s="194"/>
      <c r="F285" s="194"/>
      <c r="G285" s="194"/>
      <c r="H285" s="194"/>
      <c r="I285" s="194"/>
      <c r="J285" s="194"/>
      <c r="K285" s="194"/>
      <c r="L285" s="194"/>
    </row>
    <row r="286" spans="4:12">
      <c r="E286" s="194"/>
      <c r="F286" s="194"/>
      <c r="G286" s="194"/>
      <c r="H286" s="194"/>
      <c r="I286" s="194"/>
      <c r="J286" s="194"/>
      <c r="K286" s="194"/>
      <c r="L286" s="194"/>
    </row>
    <row r="287" spans="4:12">
      <c r="E287" s="194"/>
      <c r="F287" s="194"/>
      <c r="G287" s="194"/>
      <c r="H287" s="194"/>
      <c r="I287" s="194"/>
      <c r="J287" s="194"/>
      <c r="K287" s="194"/>
      <c r="L287" s="194"/>
    </row>
    <row r="288" spans="4:12">
      <c r="F288" s="195"/>
      <c r="G288" s="195"/>
      <c r="H288" s="195"/>
      <c r="I288" s="195"/>
      <c r="J288" s="195"/>
      <c r="K288" s="195"/>
      <c r="L288" s="195"/>
    </row>
  </sheetData>
  <autoFilter ref="A6:L287"/>
  <mergeCells count="10">
    <mergeCell ref="A4:A5"/>
    <mergeCell ref="B4:B5"/>
    <mergeCell ref="C4:C5"/>
    <mergeCell ref="L4:L5"/>
    <mergeCell ref="B1:J1"/>
    <mergeCell ref="B2:I2"/>
    <mergeCell ref="D4:E4"/>
    <mergeCell ref="F4:G4"/>
    <mergeCell ref="H4:I4"/>
    <mergeCell ref="J4:K4"/>
  </mergeCells>
  <printOptions horizontalCentered="1"/>
  <pageMargins left="0.36811023599999998" right="0.25" top="0.25" bottom="0.25" header="0.66929133858267698" footer="0.31496062992126"/>
  <pageSetup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49153" r:id="rId4" name="Control 1">
          <controlPr defaultSize="0" r:id="rId5">
            <anchor moveWithCells="1">
              <from>
                <xdr:col>12</xdr:col>
                <xdr:colOff>152400</xdr:colOff>
                <xdr:row>207</xdr:row>
                <xdr:rowOff>0</xdr:rowOff>
              </from>
              <to>
                <xdr:col>12</xdr:col>
                <xdr:colOff>390525</xdr:colOff>
                <xdr:row>208</xdr:row>
                <xdr:rowOff>66675</xdr:rowOff>
              </to>
            </anchor>
          </controlPr>
        </control>
      </mc:Choice>
      <mc:Fallback>
        <control shapeId="49153" r:id="rId4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Y653"/>
  <sheetViews>
    <sheetView topLeftCell="A71" zoomScaleNormal="100" zoomScaleSheetLayoutView="100" workbookViewId="0">
      <selection activeCell="K11" sqref="K11:K65"/>
    </sheetView>
  </sheetViews>
  <sheetFormatPr defaultColWidth="9.140625" defaultRowHeight="15"/>
  <cols>
    <col min="1" max="1" width="3.85546875" style="44" customWidth="1"/>
    <col min="2" max="2" width="34.7109375" style="45" customWidth="1"/>
    <col min="3" max="3" width="9.7109375" style="20" customWidth="1"/>
    <col min="4" max="4" width="7.28515625" style="46" customWidth="1"/>
    <col min="5" max="5" width="9" style="46" customWidth="1"/>
    <col min="6" max="6" width="8.7109375" style="46" customWidth="1"/>
    <col min="7" max="7" width="9.5703125" style="46" customWidth="1"/>
    <col min="8" max="8" width="8" style="283" customWidth="1"/>
    <col min="9" max="9" width="9" style="46" customWidth="1"/>
    <col min="10" max="10" width="8.140625" style="47" customWidth="1"/>
    <col min="11" max="11" width="8.28515625" style="46" customWidth="1"/>
    <col min="12" max="12" width="10" style="46" customWidth="1"/>
    <col min="13" max="14" width="9.140625" style="296"/>
    <col min="15" max="16384" width="9.140625" style="1"/>
  </cols>
  <sheetData>
    <row r="1" spans="1:25">
      <c r="A1" s="64"/>
      <c r="B1" s="65"/>
      <c r="C1" s="65"/>
      <c r="D1" s="65"/>
      <c r="E1" s="65"/>
      <c r="F1" s="65"/>
      <c r="G1" s="65"/>
      <c r="H1" s="278"/>
      <c r="I1" s="65"/>
      <c r="J1" s="69"/>
      <c r="K1" s="65"/>
      <c r="L1" s="65"/>
    </row>
    <row r="2" spans="1:25" ht="16.5">
      <c r="A2" s="1099" t="s">
        <v>98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</row>
    <row r="3" spans="1:25" ht="21">
      <c r="A3" s="66"/>
      <c r="B3" s="67"/>
      <c r="C3" s="68"/>
      <c r="D3" s="68"/>
      <c r="E3" s="68"/>
      <c r="F3" s="68"/>
      <c r="G3" s="68"/>
      <c r="H3" s="279"/>
      <c r="I3" s="68"/>
      <c r="J3" s="70"/>
      <c r="K3" s="68"/>
      <c r="L3" s="68"/>
    </row>
    <row r="4" spans="1:25" ht="17.45" customHeight="1">
      <c r="A4" s="1099" t="s">
        <v>253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</row>
    <row r="5" spans="1:25" ht="21">
      <c r="A5" s="66"/>
      <c r="B5" s="67"/>
      <c r="C5" s="68"/>
      <c r="D5" s="68"/>
      <c r="E5" s="68"/>
      <c r="F5" s="68"/>
      <c r="G5" s="68"/>
      <c r="H5" s="279"/>
      <c r="I5" s="68"/>
      <c r="J5" s="70"/>
      <c r="K5" s="68"/>
      <c r="L5" s="68"/>
    </row>
    <row r="6" spans="1:25" ht="33" customHeight="1">
      <c r="A6" s="1087" t="s">
        <v>13</v>
      </c>
      <c r="B6" s="1087" t="s">
        <v>27</v>
      </c>
      <c r="C6" s="1087" t="s">
        <v>35</v>
      </c>
      <c r="D6" s="1100" t="s">
        <v>36</v>
      </c>
      <c r="E6" s="1101"/>
      <c r="F6" s="1087" t="s">
        <v>37</v>
      </c>
      <c r="G6" s="1087"/>
      <c r="H6" s="1087" t="s">
        <v>38</v>
      </c>
      <c r="I6" s="1087"/>
      <c r="J6" s="1087" t="s">
        <v>39</v>
      </c>
      <c r="K6" s="1087"/>
      <c r="L6" s="1102" t="s">
        <v>40</v>
      </c>
    </row>
    <row r="7" spans="1:25" ht="36" customHeight="1">
      <c r="A7" s="1087"/>
      <c r="B7" s="1087"/>
      <c r="C7" s="1087"/>
      <c r="D7" s="73" t="s">
        <v>41</v>
      </c>
      <c r="E7" s="292" t="s">
        <v>22</v>
      </c>
      <c r="F7" s="73" t="s">
        <v>42</v>
      </c>
      <c r="G7" s="292" t="s">
        <v>43</v>
      </c>
      <c r="H7" s="293" t="s">
        <v>42</v>
      </c>
      <c r="I7" s="292" t="s">
        <v>43</v>
      </c>
      <c r="J7" s="73" t="s">
        <v>42</v>
      </c>
      <c r="K7" s="292" t="s">
        <v>43</v>
      </c>
      <c r="L7" s="1103"/>
    </row>
    <row r="8" spans="1:25">
      <c r="A8" s="74">
        <v>1</v>
      </c>
      <c r="B8" s="74">
        <v>2</v>
      </c>
      <c r="C8" s="75">
        <v>3</v>
      </c>
      <c r="D8" s="74">
        <v>4</v>
      </c>
      <c r="E8" s="74">
        <v>5</v>
      </c>
      <c r="F8" s="74">
        <v>6</v>
      </c>
      <c r="G8" s="76">
        <v>7</v>
      </c>
      <c r="H8" s="280">
        <v>8</v>
      </c>
      <c r="I8" s="76">
        <v>9</v>
      </c>
      <c r="J8" s="74">
        <v>10</v>
      </c>
      <c r="K8" s="74">
        <v>11</v>
      </c>
      <c r="L8" s="74">
        <v>12</v>
      </c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</row>
    <row r="9" spans="1:25" ht="33" customHeight="1">
      <c r="A9" s="357">
        <v>1</v>
      </c>
      <c r="B9" s="358" t="s">
        <v>114</v>
      </c>
      <c r="C9" s="359" t="s">
        <v>69</v>
      </c>
      <c r="D9" s="357"/>
      <c r="E9" s="360">
        <v>34</v>
      </c>
      <c r="F9" s="357"/>
      <c r="G9" s="361"/>
      <c r="H9" s="362"/>
      <c r="I9" s="357"/>
      <c r="J9" s="357"/>
      <c r="K9" s="357"/>
      <c r="L9" s="347"/>
    </row>
    <row r="10" spans="1:25" s="21" customFormat="1">
      <c r="A10" s="320"/>
      <c r="B10" s="236" t="s">
        <v>45</v>
      </c>
      <c r="C10" s="151" t="s">
        <v>46</v>
      </c>
      <c r="D10" s="151">
        <v>1.43</v>
      </c>
      <c r="E10" s="151">
        <f>D10*E9</f>
        <v>48.62</v>
      </c>
      <c r="F10" s="292"/>
      <c r="G10" s="292"/>
      <c r="H10" s="293"/>
      <c r="I10" s="73">
        <f>E10*H10</f>
        <v>0</v>
      </c>
      <c r="J10" s="292"/>
      <c r="K10" s="73"/>
      <c r="L10" s="73">
        <f t="shared" ref="L10:L17" si="0">K10+I10+G10</f>
        <v>0</v>
      </c>
      <c r="M10" s="296"/>
      <c r="N10" s="296"/>
    </row>
    <row r="11" spans="1:25" s="21" customFormat="1">
      <c r="A11" s="320"/>
      <c r="B11" s="236" t="s">
        <v>53</v>
      </c>
      <c r="C11" s="151" t="s">
        <v>2</v>
      </c>
      <c r="D11" s="237">
        <v>2.5700000000000001E-2</v>
      </c>
      <c r="E11" s="238">
        <f>D11*E9</f>
        <v>0.87380000000000002</v>
      </c>
      <c r="F11" s="292"/>
      <c r="G11" s="292"/>
      <c r="H11" s="293"/>
      <c r="I11" s="292"/>
      <c r="J11" s="292"/>
      <c r="K11" s="73">
        <f>J11*E11</f>
        <v>0</v>
      </c>
      <c r="L11" s="73">
        <f t="shared" si="0"/>
        <v>0</v>
      </c>
      <c r="M11" s="296"/>
      <c r="N11" s="296"/>
    </row>
    <row r="12" spans="1:25" s="21" customFormat="1">
      <c r="A12" s="237"/>
      <c r="B12" s="233" t="s">
        <v>115</v>
      </c>
      <c r="C12" s="151" t="s">
        <v>69</v>
      </c>
      <c r="D12" s="209">
        <v>1</v>
      </c>
      <c r="E12" s="238">
        <f>D12*E9</f>
        <v>34</v>
      </c>
      <c r="F12" s="238"/>
      <c r="G12" s="235">
        <f t="shared" ref="G12:G17" si="1">F12*E12</f>
        <v>0</v>
      </c>
      <c r="H12" s="281"/>
      <c r="I12" s="237"/>
      <c r="J12" s="237"/>
      <c r="K12" s="237"/>
      <c r="L12" s="73">
        <f t="shared" si="0"/>
        <v>0</v>
      </c>
      <c r="M12" s="296"/>
      <c r="N12" s="296"/>
    </row>
    <row r="13" spans="1:25" s="21" customFormat="1" ht="15" customHeight="1">
      <c r="A13" s="237"/>
      <c r="B13" s="101" t="s">
        <v>116</v>
      </c>
      <c r="C13" s="151" t="s">
        <v>65</v>
      </c>
      <c r="D13" s="209"/>
      <c r="E13" s="238">
        <v>11</v>
      </c>
      <c r="F13" s="238"/>
      <c r="G13" s="235">
        <f t="shared" si="1"/>
        <v>0</v>
      </c>
      <c r="H13" s="281"/>
      <c r="I13" s="237"/>
      <c r="J13" s="237"/>
      <c r="K13" s="237"/>
      <c r="L13" s="73">
        <f t="shared" si="0"/>
        <v>0</v>
      </c>
      <c r="M13" s="296"/>
      <c r="N13" s="296"/>
    </row>
    <row r="14" spans="1:25" s="21" customFormat="1">
      <c r="A14" s="237"/>
      <c r="B14" s="240" t="s">
        <v>117</v>
      </c>
      <c r="C14" s="151" t="s">
        <v>65</v>
      </c>
      <c r="D14" s="237"/>
      <c r="E14" s="238">
        <v>26</v>
      </c>
      <c r="F14" s="238"/>
      <c r="G14" s="235">
        <f t="shared" si="1"/>
        <v>0</v>
      </c>
      <c r="H14" s="281"/>
      <c r="I14" s="237"/>
      <c r="J14" s="237"/>
      <c r="K14" s="237"/>
      <c r="L14" s="73">
        <f t="shared" si="0"/>
        <v>0</v>
      </c>
      <c r="M14" s="296"/>
      <c r="N14" s="296"/>
    </row>
    <row r="15" spans="1:25" s="21" customFormat="1" ht="15.75">
      <c r="A15" s="200"/>
      <c r="B15" s="240" t="s">
        <v>118</v>
      </c>
      <c r="C15" s="153" t="s">
        <v>65</v>
      </c>
      <c r="D15" s="230"/>
      <c r="E15" s="231">
        <v>4</v>
      </c>
      <c r="F15" s="127"/>
      <c r="G15" s="235">
        <f t="shared" si="1"/>
        <v>0</v>
      </c>
      <c r="H15" s="281"/>
      <c r="I15" s="237"/>
      <c r="J15" s="237"/>
      <c r="K15" s="237"/>
      <c r="L15" s="73">
        <f t="shared" si="0"/>
        <v>0</v>
      </c>
      <c r="M15" s="296"/>
      <c r="N15" s="296"/>
    </row>
    <row r="16" spans="1:25" s="21" customFormat="1" ht="15.75">
      <c r="A16" s="200"/>
      <c r="B16" s="101" t="s">
        <v>152</v>
      </c>
      <c r="C16" s="153" t="s">
        <v>65</v>
      </c>
      <c r="D16" s="230"/>
      <c r="E16" s="231">
        <v>7</v>
      </c>
      <c r="F16" s="127"/>
      <c r="G16" s="235">
        <f t="shared" si="1"/>
        <v>0</v>
      </c>
      <c r="H16" s="281"/>
      <c r="I16" s="237"/>
      <c r="J16" s="237"/>
      <c r="K16" s="237"/>
      <c r="L16" s="73">
        <f t="shared" si="0"/>
        <v>0</v>
      </c>
      <c r="M16" s="296"/>
      <c r="N16" s="296"/>
    </row>
    <row r="17" spans="1:14">
      <c r="A17" s="322"/>
      <c r="B17" s="154" t="s">
        <v>54</v>
      </c>
      <c r="C17" s="151" t="s">
        <v>2</v>
      </c>
      <c r="D17" s="237">
        <v>4.5699999999999998E-2</v>
      </c>
      <c r="E17" s="238">
        <f>D17*E9</f>
        <v>1.5537999999999998</v>
      </c>
      <c r="F17" s="234"/>
      <c r="G17" s="235">
        <f t="shared" si="1"/>
        <v>0</v>
      </c>
      <c r="H17" s="269"/>
      <c r="I17" s="295"/>
      <c r="J17" s="295"/>
      <c r="K17" s="295"/>
      <c r="L17" s="73">
        <f t="shared" si="0"/>
        <v>0</v>
      </c>
    </row>
    <row r="18" spans="1:14" ht="30" customHeight="1">
      <c r="A18" s="363">
        <v>2</v>
      </c>
      <c r="B18" s="364" t="s">
        <v>119</v>
      </c>
      <c r="C18" s="365" t="s">
        <v>69</v>
      </c>
      <c r="D18" s="366"/>
      <c r="E18" s="367">
        <v>16</v>
      </c>
      <c r="F18" s="367"/>
      <c r="G18" s="368"/>
      <c r="H18" s="369"/>
      <c r="I18" s="368"/>
      <c r="J18" s="367"/>
      <c r="K18" s="368"/>
      <c r="L18" s="368"/>
    </row>
    <row r="19" spans="1:14" s="21" customFormat="1" ht="15.75">
      <c r="A19" s="201"/>
      <c r="B19" s="152" t="s">
        <v>45</v>
      </c>
      <c r="C19" s="153" t="s">
        <v>46</v>
      </c>
      <c r="D19" s="230">
        <v>1.17</v>
      </c>
      <c r="E19" s="202">
        <f>D19*E18</f>
        <v>18.72</v>
      </c>
      <c r="F19" s="202"/>
      <c r="G19" s="203"/>
      <c r="H19" s="268"/>
      <c r="I19" s="202">
        <f>H19*E19</f>
        <v>0</v>
      </c>
      <c r="J19" s="202"/>
      <c r="K19" s="203"/>
      <c r="L19" s="203">
        <f t="shared" ref="L19:L27" si="2">K19+I19+G19</f>
        <v>0</v>
      </c>
      <c r="M19" s="296"/>
      <c r="N19" s="296"/>
    </row>
    <row r="20" spans="1:14" s="21" customFormat="1">
      <c r="A20" s="320"/>
      <c r="B20" s="236" t="s">
        <v>53</v>
      </c>
      <c r="C20" s="151" t="s">
        <v>2</v>
      </c>
      <c r="D20" s="237">
        <v>1.72E-2</v>
      </c>
      <c r="E20" s="238">
        <f>D20*E18</f>
        <v>0.2752</v>
      </c>
      <c r="F20" s="292"/>
      <c r="G20" s="292"/>
      <c r="H20" s="293"/>
      <c r="I20" s="292"/>
      <c r="J20" s="292"/>
      <c r="K20" s="73">
        <f>J20*E20</f>
        <v>0</v>
      </c>
      <c r="L20" s="73">
        <f t="shared" si="2"/>
        <v>0</v>
      </c>
      <c r="M20" s="296"/>
      <c r="N20" s="296"/>
    </row>
    <row r="21" spans="1:14" s="21" customFormat="1">
      <c r="A21" s="237"/>
      <c r="B21" s="233" t="s">
        <v>120</v>
      </c>
      <c r="C21" s="151" t="s">
        <v>69</v>
      </c>
      <c r="D21" s="209">
        <v>1</v>
      </c>
      <c r="E21" s="238">
        <f>D21*E18</f>
        <v>16</v>
      </c>
      <c r="F21" s="238"/>
      <c r="G21" s="235">
        <f t="shared" ref="G21:G27" si="3">F21*E21</f>
        <v>0</v>
      </c>
      <c r="H21" s="281"/>
      <c r="I21" s="237"/>
      <c r="J21" s="237"/>
      <c r="K21" s="237"/>
      <c r="L21" s="73">
        <f t="shared" si="2"/>
        <v>0</v>
      </c>
      <c r="M21" s="296"/>
      <c r="N21" s="296"/>
    </row>
    <row r="22" spans="1:14" s="21" customFormat="1" ht="15" customHeight="1">
      <c r="A22" s="237"/>
      <c r="B22" s="239" t="s">
        <v>121</v>
      </c>
      <c r="C22" s="151" t="s">
        <v>65</v>
      </c>
      <c r="D22" s="209"/>
      <c r="E22" s="238">
        <v>5</v>
      </c>
      <c r="F22" s="238"/>
      <c r="G22" s="235">
        <f t="shared" si="3"/>
        <v>0</v>
      </c>
      <c r="H22" s="281"/>
      <c r="I22" s="237"/>
      <c r="J22" s="237"/>
      <c r="K22" s="237"/>
      <c r="L22" s="73">
        <f t="shared" si="2"/>
        <v>0</v>
      </c>
      <c r="M22" s="296"/>
      <c r="N22" s="296"/>
    </row>
    <row r="23" spans="1:14" s="21" customFormat="1">
      <c r="A23" s="237"/>
      <c r="B23" s="240" t="s">
        <v>122</v>
      </c>
      <c r="C23" s="151" t="s">
        <v>65</v>
      </c>
      <c r="D23" s="237"/>
      <c r="E23" s="238">
        <v>2</v>
      </c>
      <c r="F23" s="238"/>
      <c r="G23" s="235">
        <f t="shared" si="3"/>
        <v>0</v>
      </c>
      <c r="H23" s="281"/>
      <c r="I23" s="237"/>
      <c r="J23" s="237"/>
      <c r="K23" s="237"/>
      <c r="L23" s="73">
        <f t="shared" si="2"/>
        <v>0</v>
      </c>
      <c r="M23" s="296"/>
      <c r="N23" s="296"/>
    </row>
    <row r="24" spans="1:14" s="21" customFormat="1" ht="15.75">
      <c r="A24" s="200"/>
      <c r="B24" s="240" t="s">
        <v>247</v>
      </c>
      <c r="C24" s="153" t="s">
        <v>65</v>
      </c>
      <c r="D24" s="241"/>
      <c r="E24" s="231">
        <v>2</v>
      </c>
      <c r="F24" s="127"/>
      <c r="G24" s="235">
        <f t="shared" si="3"/>
        <v>0</v>
      </c>
      <c r="H24" s="281"/>
      <c r="I24" s="237"/>
      <c r="J24" s="237"/>
      <c r="K24" s="237"/>
      <c r="L24" s="73">
        <f t="shared" si="2"/>
        <v>0</v>
      </c>
      <c r="M24" s="296"/>
      <c r="N24" s="296"/>
    </row>
    <row r="25" spans="1:14" s="21" customFormat="1" ht="15.75">
      <c r="A25" s="200"/>
      <c r="B25" s="240" t="s">
        <v>123</v>
      </c>
      <c r="C25" s="153" t="s">
        <v>65</v>
      </c>
      <c r="D25" s="230"/>
      <c r="E25" s="231">
        <v>4</v>
      </c>
      <c r="F25" s="231"/>
      <c r="G25" s="202">
        <f t="shared" si="3"/>
        <v>0</v>
      </c>
      <c r="H25" s="268"/>
      <c r="I25" s="203"/>
      <c r="J25" s="202"/>
      <c r="K25" s="203"/>
      <c r="L25" s="73">
        <f t="shared" si="2"/>
        <v>0</v>
      </c>
      <c r="M25" s="296"/>
      <c r="N25" s="296"/>
    </row>
    <row r="26" spans="1:14" s="21" customFormat="1" ht="15.75">
      <c r="A26" s="200"/>
      <c r="B26" s="101" t="s">
        <v>153</v>
      </c>
      <c r="C26" s="153" t="s">
        <v>65</v>
      </c>
      <c r="D26" s="230"/>
      <c r="E26" s="231">
        <v>12</v>
      </c>
      <c r="F26" s="127"/>
      <c r="G26" s="235">
        <f t="shared" si="3"/>
        <v>0</v>
      </c>
      <c r="H26" s="281"/>
      <c r="I26" s="237"/>
      <c r="J26" s="237"/>
      <c r="K26" s="237"/>
      <c r="L26" s="73">
        <f t="shared" si="2"/>
        <v>0</v>
      </c>
      <c r="M26" s="296"/>
      <c r="N26" s="296"/>
    </row>
    <row r="27" spans="1:14" ht="15.75">
      <c r="A27" s="200"/>
      <c r="B27" s="152" t="s">
        <v>54</v>
      </c>
      <c r="C27" s="153" t="s">
        <v>2</v>
      </c>
      <c r="D27" s="230">
        <v>3.9300000000000002E-2</v>
      </c>
      <c r="E27" s="231">
        <f>D27*E18</f>
        <v>0.62880000000000003</v>
      </c>
      <c r="F27" s="234"/>
      <c r="G27" s="202">
        <f t="shared" si="3"/>
        <v>0</v>
      </c>
      <c r="H27" s="268"/>
      <c r="I27" s="203"/>
      <c r="J27" s="202"/>
      <c r="K27" s="203"/>
      <c r="L27" s="203">
        <f t="shared" si="2"/>
        <v>0</v>
      </c>
    </row>
    <row r="28" spans="1:14" s="21" customFormat="1">
      <c r="A28" s="347">
        <v>3</v>
      </c>
      <c r="B28" s="373" t="s">
        <v>124</v>
      </c>
      <c r="C28" s="359" t="s">
        <v>65</v>
      </c>
      <c r="D28" s="374"/>
      <c r="E28" s="375">
        <v>1</v>
      </c>
      <c r="F28" s="376"/>
      <c r="G28" s="347"/>
      <c r="H28" s="377"/>
      <c r="I28" s="347"/>
      <c r="J28" s="347"/>
      <c r="K28" s="347"/>
      <c r="L28" s="354"/>
      <c r="M28" s="296"/>
      <c r="N28" s="296"/>
    </row>
    <row r="29" spans="1:14" s="21" customFormat="1" ht="17.45" customHeight="1">
      <c r="A29" s="320"/>
      <c r="B29" s="236" t="s">
        <v>45</v>
      </c>
      <c r="C29" s="151" t="s">
        <v>65</v>
      </c>
      <c r="D29" s="151">
        <v>1</v>
      </c>
      <c r="E29" s="151">
        <f>D29*E28</f>
        <v>1</v>
      </c>
      <c r="F29" s="292"/>
      <c r="G29" s="292"/>
      <c r="H29" s="293"/>
      <c r="I29" s="73">
        <f>H29*E29</f>
        <v>0</v>
      </c>
      <c r="J29" s="292"/>
      <c r="K29" s="73"/>
      <c r="L29" s="73">
        <f>K29+I29+G29</f>
        <v>0</v>
      </c>
      <c r="M29" s="296"/>
      <c r="N29" s="296"/>
    </row>
    <row r="30" spans="1:14" s="21" customFormat="1">
      <c r="A30" s="320"/>
      <c r="B30" s="236" t="s">
        <v>53</v>
      </c>
      <c r="C30" s="151" t="s">
        <v>2</v>
      </c>
      <c r="D30" s="237">
        <v>0.01</v>
      </c>
      <c r="E30" s="238">
        <f>D30*E28</f>
        <v>0.01</v>
      </c>
      <c r="F30" s="292"/>
      <c r="G30" s="292"/>
      <c r="H30" s="293"/>
      <c r="I30" s="292"/>
      <c r="J30" s="292"/>
      <c r="K30" s="73">
        <f>E30*J30</f>
        <v>0</v>
      </c>
      <c r="L30" s="73">
        <f>K30+I30+G30</f>
        <v>0</v>
      </c>
      <c r="M30" s="296"/>
      <c r="N30" s="296"/>
    </row>
    <row r="31" spans="1:14" s="21" customFormat="1" ht="26.25">
      <c r="A31" s="320"/>
      <c r="B31" s="236" t="s">
        <v>461</v>
      </c>
      <c r="C31" s="151" t="s">
        <v>65</v>
      </c>
      <c r="D31" s="237"/>
      <c r="E31" s="238">
        <v>1</v>
      </c>
      <c r="F31" s="73"/>
      <c r="G31" s="73">
        <f>E31*F31</f>
        <v>0</v>
      </c>
      <c r="H31" s="269"/>
      <c r="I31" s="295"/>
      <c r="J31" s="295"/>
      <c r="K31" s="295"/>
      <c r="L31" s="73">
        <f>K31+I31+G31</f>
        <v>0</v>
      </c>
      <c r="M31" s="296"/>
      <c r="N31" s="296"/>
    </row>
    <row r="32" spans="1:14" s="19" customFormat="1">
      <c r="A32" s="1007"/>
      <c r="B32" s="1008" t="s">
        <v>246</v>
      </c>
      <c r="C32" s="1009" t="s">
        <v>65</v>
      </c>
      <c r="D32" s="756"/>
      <c r="E32" s="756">
        <v>2</v>
      </c>
      <c r="F32" s="756"/>
      <c r="G32" s="756">
        <f>F32*E32</f>
        <v>0</v>
      </c>
      <c r="H32" s="1010"/>
      <c r="I32" s="756"/>
      <c r="J32" s="756"/>
      <c r="K32" s="756"/>
      <c r="L32" s="746">
        <f>K32+I32+G32</f>
        <v>0</v>
      </c>
    </row>
    <row r="33" spans="1:25">
      <c r="A33" s="322"/>
      <c r="B33" s="154" t="s">
        <v>54</v>
      </c>
      <c r="C33" s="151" t="s">
        <v>2</v>
      </c>
      <c r="D33" s="237">
        <v>7.0000000000000007E-2</v>
      </c>
      <c r="E33" s="238">
        <f>D33*E28</f>
        <v>7.0000000000000007E-2</v>
      </c>
      <c r="F33" s="234"/>
      <c r="G33" s="73">
        <f>E33*F33</f>
        <v>0</v>
      </c>
      <c r="H33" s="269"/>
      <c r="I33" s="295"/>
      <c r="J33" s="295"/>
      <c r="K33" s="295"/>
      <c r="L33" s="73">
        <f>K33+I33+G33</f>
        <v>0</v>
      </c>
    </row>
    <row r="34" spans="1:25" s="43" customFormat="1" ht="28.15" customHeight="1">
      <c r="A34" s="378">
        <v>4</v>
      </c>
      <c r="B34" s="379" t="s">
        <v>125</v>
      </c>
      <c r="C34" s="380" t="s">
        <v>65</v>
      </c>
      <c r="D34" s="381"/>
      <c r="E34" s="382">
        <v>1</v>
      </c>
      <c r="F34" s="383"/>
      <c r="G34" s="384"/>
      <c r="H34" s="377"/>
      <c r="I34" s="384"/>
      <c r="J34" s="384"/>
      <c r="K34" s="384"/>
      <c r="L34" s="384"/>
      <c r="M34" s="313"/>
      <c r="N34" s="313"/>
    </row>
    <row r="35" spans="1:25" customFormat="1">
      <c r="A35" s="117"/>
      <c r="B35" s="232" t="s">
        <v>45</v>
      </c>
      <c r="C35" s="117" t="s">
        <v>46</v>
      </c>
      <c r="D35" s="117">
        <v>8.2200000000000006</v>
      </c>
      <c r="E35" s="245">
        <f>D35*E34</f>
        <v>8.2200000000000006</v>
      </c>
      <c r="F35" s="117"/>
      <c r="G35" s="127"/>
      <c r="H35" s="99"/>
      <c r="I35" s="1065">
        <f>H35*E35</f>
        <v>0</v>
      </c>
      <c r="J35" s="218"/>
      <c r="K35" s="218"/>
      <c r="L35" s="127">
        <f>K35+I35+G35</f>
        <v>0</v>
      </c>
      <c r="M35" s="19"/>
      <c r="N35" s="19"/>
    </row>
    <row r="36" spans="1:25" customFormat="1">
      <c r="A36" s="117"/>
      <c r="B36" s="232" t="s">
        <v>53</v>
      </c>
      <c r="C36" s="117" t="s">
        <v>2</v>
      </c>
      <c r="D36" s="117">
        <v>0.31</v>
      </c>
      <c r="E36" s="104">
        <f>E34*D36</f>
        <v>0.31</v>
      </c>
      <c r="F36" s="117"/>
      <c r="G36" s="127"/>
      <c r="H36" s="99"/>
      <c r="I36" s="218"/>
      <c r="J36" s="218"/>
      <c r="K36" s="1065">
        <f>J36*E36</f>
        <v>0</v>
      </c>
      <c r="L36" s="127">
        <f>K36+I36+G36</f>
        <v>0</v>
      </c>
      <c r="M36" s="19"/>
      <c r="N36" s="19"/>
    </row>
    <row r="37" spans="1:25" s="19" customFormat="1" ht="45">
      <c r="A37" s="149"/>
      <c r="B37" s="181" t="s">
        <v>462</v>
      </c>
      <c r="C37" s="246" t="s">
        <v>65</v>
      </c>
      <c r="D37" s="127">
        <v>1</v>
      </c>
      <c r="E37" s="127">
        <f>D37*E34</f>
        <v>1</v>
      </c>
      <c r="F37" s="127"/>
      <c r="G37" s="127">
        <f>F37*E37</f>
        <v>0</v>
      </c>
      <c r="H37" s="99"/>
      <c r="I37" s="127"/>
      <c r="J37" s="127"/>
      <c r="K37" s="127"/>
      <c r="L37" s="73">
        <f>K37+I37+G37</f>
        <v>0</v>
      </c>
    </row>
    <row r="38" spans="1:25" s="19" customFormat="1">
      <c r="A38" s="567"/>
      <c r="B38" s="629" t="s">
        <v>246</v>
      </c>
      <c r="C38" s="246" t="s">
        <v>65</v>
      </c>
      <c r="D38" s="546"/>
      <c r="E38" s="546">
        <v>2</v>
      </c>
      <c r="F38" s="546"/>
      <c r="G38" s="127">
        <f>F38*E38</f>
        <v>0</v>
      </c>
      <c r="H38" s="99"/>
      <c r="I38" s="127"/>
      <c r="J38" s="127"/>
      <c r="K38" s="127"/>
      <c r="L38" s="73">
        <f>K38+I38+G38</f>
        <v>0</v>
      </c>
    </row>
    <row r="39" spans="1:25" s="19" customFormat="1">
      <c r="A39" s="146"/>
      <c r="B39" s="247" t="s">
        <v>54</v>
      </c>
      <c r="C39" s="151" t="s">
        <v>2</v>
      </c>
      <c r="D39" s="248">
        <v>0.2</v>
      </c>
      <c r="E39" s="147">
        <f>D39*E34</f>
        <v>0.2</v>
      </c>
      <c r="F39" s="147"/>
      <c r="G39" s="235">
        <f>F39*E39</f>
        <v>0</v>
      </c>
      <c r="H39" s="293"/>
      <c r="I39" s="107"/>
      <c r="J39" s="147"/>
      <c r="K39" s="148"/>
      <c r="L39" s="147">
        <f>K39+I39+G39</f>
        <v>0</v>
      </c>
    </row>
    <row r="40" spans="1:25" s="42" customFormat="1" ht="27">
      <c r="A40" s="347">
        <v>5</v>
      </c>
      <c r="B40" s="358" t="s">
        <v>126</v>
      </c>
      <c r="C40" s="359" t="s">
        <v>65</v>
      </c>
      <c r="D40" s="374"/>
      <c r="E40" s="374">
        <v>9</v>
      </c>
      <c r="F40" s="347"/>
      <c r="G40" s="347"/>
      <c r="H40" s="377"/>
      <c r="I40" s="347"/>
      <c r="J40" s="347"/>
      <c r="K40" s="347"/>
      <c r="L40" s="347"/>
      <c r="M40" s="41"/>
      <c r="N40" s="41"/>
    </row>
    <row r="41" spans="1:25" s="42" customFormat="1">
      <c r="A41" s="533"/>
      <c r="B41" s="236" t="s">
        <v>45</v>
      </c>
      <c r="C41" s="151" t="s">
        <v>46</v>
      </c>
      <c r="D41" s="151">
        <v>1.51</v>
      </c>
      <c r="E41" s="151">
        <f>D41*E40</f>
        <v>13.59</v>
      </c>
      <c r="F41" s="533"/>
      <c r="G41" s="533"/>
      <c r="H41" s="532"/>
      <c r="I41" s="73">
        <f>H41*E41</f>
        <v>0</v>
      </c>
      <c r="J41" s="533"/>
      <c r="K41" s="73"/>
      <c r="L41" s="73">
        <f>K41+I41+G41</f>
        <v>0</v>
      </c>
      <c r="M41" s="41"/>
      <c r="N41" s="41"/>
    </row>
    <row r="42" spans="1:25" s="41" customFormat="1" ht="15.75">
      <c r="A42" s="533"/>
      <c r="B42" s="152" t="s">
        <v>53</v>
      </c>
      <c r="C42" s="153" t="s">
        <v>2</v>
      </c>
      <c r="D42" s="237">
        <v>0.13</v>
      </c>
      <c r="E42" s="238">
        <f>D42*E40</f>
        <v>1.17</v>
      </c>
      <c r="F42" s="533"/>
      <c r="G42" s="533"/>
      <c r="H42" s="532"/>
      <c r="I42" s="533"/>
      <c r="J42" s="533"/>
      <c r="K42" s="73">
        <f>E42*J42</f>
        <v>0</v>
      </c>
      <c r="L42" s="73">
        <f>K42+I42+G42</f>
        <v>0</v>
      </c>
    </row>
    <row r="43" spans="1:25" s="41" customFormat="1">
      <c r="A43" s="533"/>
      <c r="B43" s="249" t="s">
        <v>186</v>
      </c>
      <c r="C43" s="151" t="s">
        <v>65</v>
      </c>
      <c r="D43" s="73"/>
      <c r="E43" s="238">
        <v>2</v>
      </c>
      <c r="F43" s="73"/>
      <c r="G43" s="73">
        <f>E43*F43</f>
        <v>0</v>
      </c>
      <c r="H43" s="532"/>
      <c r="I43" s="533"/>
      <c r="J43" s="533"/>
      <c r="K43" s="533"/>
      <c r="L43" s="73">
        <f>K43+I43+G43</f>
        <v>0</v>
      </c>
    </row>
    <row r="44" spans="1:25" s="41" customFormat="1">
      <c r="A44" s="545"/>
      <c r="B44" s="1006" t="s">
        <v>432</v>
      </c>
      <c r="C44" s="151" t="s">
        <v>65</v>
      </c>
      <c r="D44" s="73"/>
      <c r="E44" s="238">
        <v>7</v>
      </c>
      <c r="F44" s="73"/>
      <c r="G44" s="73">
        <f>E44*F44</f>
        <v>0</v>
      </c>
      <c r="H44" s="1003"/>
      <c r="I44" s="1002"/>
      <c r="J44" s="1002"/>
      <c r="K44" s="1002"/>
      <c r="L44" s="73">
        <f>K44+I44+G44</f>
        <v>0</v>
      </c>
    </row>
    <row r="45" spans="1:25" s="41" customFormat="1">
      <c r="A45" s="515"/>
      <c r="B45" s="154" t="s">
        <v>54</v>
      </c>
      <c r="C45" s="151" t="s">
        <v>2</v>
      </c>
      <c r="D45" s="237">
        <v>7.0000000000000007E-2</v>
      </c>
      <c r="E45" s="238">
        <f>D45*E40</f>
        <v>0.63000000000000012</v>
      </c>
      <c r="F45" s="234"/>
      <c r="G45" s="73">
        <f>E45*F45</f>
        <v>0</v>
      </c>
      <c r="H45" s="269"/>
      <c r="I45" s="515"/>
      <c r="J45" s="515"/>
      <c r="K45" s="515"/>
      <c r="L45" s="73">
        <f>K45+I45+G45</f>
        <v>0</v>
      </c>
    </row>
    <row r="46" spans="1:25" s="41" customFormat="1">
      <c r="A46" s="649"/>
      <c r="B46" s="656" t="s">
        <v>252</v>
      </c>
      <c r="C46" s="638"/>
      <c r="D46" s="640"/>
      <c r="E46" s="633"/>
      <c r="F46" s="647"/>
      <c r="G46" s="655"/>
      <c r="H46" s="648"/>
      <c r="I46" s="649"/>
      <c r="J46" s="649"/>
      <c r="K46" s="649"/>
      <c r="L46" s="634"/>
    </row>
    <row r="47" spans="1:25" ht="40.5">
      <c r="A47" s="340">
        <v>6</v>
      </c>
      <c r="B47" s="358" t="s">
        <v>128</v>
      </c>
      <c r="C47" s="359" t="s">
        <v>69</v>
      </c>
      <c r="D47" s="359"/>
      <c r="E47" s="359">
        <v>4</v>
      </c>
      <c r="F47" s="340"/>
      <c r="G47" s="340"/>
      <c r="H47" s="371"/>
      <c r="I47" s="340"/>
      <c r="J47" s="340"/>
      <c r="K47" s="340"/>
      <c r="L47" s="340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</row>
    <row r="48" spans="1:25">
      <c r="A48" s="320"/>
      <c r="B48" s="236" t="s">
        <v>45</v>
      </c>
      <c r="C48" s="151" t="s">
        <v>46</v>
      </c>
      <c r="D48" s="151">
        <v>0.60899999999999999</v>
      </c>
      <c r="E48" s="151">
        <f>D48*E47</f>
        <v>2.4359999999999999</v>
      </c>
      <c r="F48" s="292"/>
      <c r="G48" s="292"/>
      <c r="H48" s="293"/>
      <c r="I48" s="73">
        <f>H48*E48</f>
        <v>0</v>
      </c>
      <c r="J48" s="292"/>
      <c r="K48" s="73"/>
      <c r="L48" s="73">
        <f t="shared" ref="L48:L55" si="4">K48+I48+G48</f>
        <v>0</v>
      </c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</row>
    <row r="49" spans="1:25">
      <c r="A49" s="320"/>
      <c r="B49" s="236" t="s">
        <v>53</v>
      </c>
      <c r="C49" s="151" t="s">
        <v>2</v>
      </c>
      <c r="D49" s="237">
        <v>2.0999999999999999E-3</v>
      </c>
      <c r="E49" s="250">
        <f>D49*E47</f>
        <v>8.3999999999999995E-3</v>
      </c>
      <c r="F49" s="292"/>
      <c r="G49" s="292"/>
      <c r="H49" s="293"/>
      <c r="I49" s="292"/>
      <c r="J49" s="292"/>
      <c r="K49" s="73">
        <f>E49*J49</f>
        <v>0</v>
      </c>
      <c r="L49" s="73">
        <f t="shared" si="4"/>
        <v>0</v>
      </c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</row>
    <row r="50" spans="1:25" ht="27.6" customHeight="1">
      <c r="A50" s="320"/>
      <c r="B50" s="255" t="s">
        <v>129</v>
      </c>
      <c r="C50" s="151" t="s">
        <v>105</v>
      </c>
      <c r="D50" s="151">
        <v>1</v>
      </c>
      <c r="E50" s="151">
        <f>D50*E47</f>
        <v>4</v>
      </c>
      <c r="F50" s="125"/>
      <c r="G50" s="73">
        <f>E50*F50</f>
        <v>0</v>
      </c>
      <c r="H50" s="293"/>
      <c r="I50" s="292"/>
      <c r="J50" s="292"/>
      <c r="K50" s="292"/>
      <c r="L50" s="73">
        <f t="shared" si="4"/>
        <v>0</v>
      </c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</row>
    <row r="51" spans="1:25">
      <c r="A51" s="320"/>
      <c r="B51" s="240" t="s">
        <v>130</v>
      </c>
      <c r="C51" s="151" t="s">
        <v>65</v>
      </c>
      <c r="D51" s="151"/>
      <c r="E51" s="151">
        <v>4</v>
      </c>
      <c r="F51" s="896"/>
      <c r="G51" s="73">
        <f>E51*F51</f>
        <v>0</v>
      </c>
      <c r="H51" s="293"/>
      <c r="I51" s="292"/>
      <c r="J51" s="292"/>
      <c r="K51" s="292"/>
      <c r="L51" s="73">
        <f t="shared" si="4"/>
        <v>0</v>
      </c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</row>
    <row r="52" spans="1:25">
      <c r="A52" s="320"/>
      <c r="B52" s="240" t="s">
        <v>131</v>
      </c>
      <c r="C52" s="151" t="s">
        <v>65</v>
      </c>
      <c r="D52" s="151"/>
      <c r="E52" s="151">
        <v>2</v>
      </c>
      <c r="F52" s="896"/>
      <c r="G52" s="73">
        <f>E52*F52</f>
        <v>0</v>
      </c>
      <c r="H52" s="293"/>
      <c r="I52" s="292"/>
      <c r="J52" s="292"/>
      <c r="K52" s="292"/>
      <c r="L52" s="73">
        <f t="shared" si="4"/>
        <v>0</v>
      </c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</row>
    <row r="53" spans="1:25">
      <c r="A53" s="320"/>
      <c r="B53" s="240" t="s">
        <v>167</v>
      </c>
      <c r="C53" s="151" t="s">
        <v>65</v>
      </c>
      <c r="D53" s="151"/>
      <c r="E53" s="151">
        <v>1</v>
      </c>
      <c r="F53" s="896"/>
      <c r="G53" s="73">
        <f>E53*F53</f>
        <v>0</v>
      </c>
      <c r="H53" s="293"/>
      <c r="I53" s="292"/>
      <c r="J53" s="292"/>
      <c r="K53" s="292"/>
      <c r="L53" s="73">
        <f t="shared" si="4"/>
        <v>0</v>
      </c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</row>
    <row r="54" spans="1:25" ht="27.75">
      <c r="A54" s="1002"/>
      <c r="B54" s="657" t="s">
        <v>248</v>
      </c>
      <c r="C54" s="151" t="s">
        <v>65</v>
      </c>
      <c r="D54" s="151"/>
      <c r="E54" s="151">
        <v>2</v>
      </c>
      <c r="F54" s="1002"/>
      <c r="G54" s="73">
        <f t="shared" ref="G54" si="5">E54*F54</f>
        <v>0</v>
      </c>
      <c r="H54" s="1003"/>
      <c r="I54" s="1002"/>
      <c r="J54" s="1002"/>
      <c r="K54" s="1002"/>
      <c r="L54" s="73">
        <f t="shared" si="4"/>
        <v>0</v>
      </c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</row>
    <row r="55" spans="1:25">
      <c r="A55" s="322"/>
      <c r="B55" s="154" t="s">
        <v>54</v>
      </c>
      <c r="C55" s="151" t="s">
        <v>2</v>
      </c>
      <c r="D55" s="237">
        <v>0.156</v>
      </c>
      <c r="E55" s="238">
        <f>D55*E47</f>
        <v>0.624</v>
      </c>
      <c r="F55" s="234"/>
      <c r="G55" s="73">
        <f>E55*F55</f>
        <v>0</v>
      </c>
      <c r="H55" s="269"/>
      <c r="I55" s="295"/>
      <c r="J55" s="295"/>
      <c r="K55" s="295"/>
      <c r="L55" s="73">
        <f t="shared" si="4"/>
        <v>0</v>
      </c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</row>
    <row r="56" spans="1:25" ht="15.75">
      <c r="A56" s="389">
        <v>7</v>
      </c>
      <c r="B56" s="390" t="s">
        <v>134</v>
      </c>
      <c r="C56" s="365" t="s">
        <v>133</v>
      </c>
      <c r="D56" s="365"/>
      <c r="E56" s="367">
        <v>1</v>
      </c>
      <c r="F56" s="367"/>
      <c r="G56" s="368"/>
      <c r="H56" s="369"/>
      <c r="I56" s="368"/>
      <c r="J56" s="367"/>
      <c r="K56" s="368"/>
      <c r="L56" s="368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</row>
    <row r="57" spans="1:25">
      <c r="A57" s="547"/>
      <c r="B57" s="236" t="s">
        <v>45</v>
      </c>
      <c r="C57" s="151" t="s">
        <v>133</v>
      </c>
      <c r="D57" s="151">
        <v>1</v>
      </c>
      <c r="E57" s="151">
        <f>D57*E56</f>
        <v>1</v>
      </c>
      <c r="F57" s="547"/>
      <c r="G57" s="547"/>
      <c r="H57" s="548"/>
      <c r="I57" s="73">
        <f>H57*E57</f>
        <v>0</v>
      </c>
      <c r="J57" s="547"/>
      <c r="K57" s="73"/>
      <c r="L57" s="73">
        <f t="shared" ref="L57:L62" si="6">K57+I57+G57</f>
        <v>0</v>
      </c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</row>
    <row r="58" spans="1:25" ht="21.95" customHeight="1">
      <c r="A58" s="321"/>
      <c r="B58" s="236" t="s">
        <v>53</v>
      </c>
      <c r="C58" s="151" t="s">
        <v>2</v>
      </c>
      <c r="D58" s="151">
        <v>0.13</v>
      </c>
      <c r="E58" s="251">
        <f>E56*D58</f>
        <v>0.13</v>
      </c>
      <c r="F58" s="294"/>
      <c r="G58" s="294"/>
      <c r="H58" s="293"/>
      <c r="I58" s="292"/>
      <c r="J58" s="292"/>
      <c r="K58" s="73">
        <f>J58*E58</f>
        <v>0</v>
      </c>
      <c r="L58" s="73">
        <f t="shared" si="6"/>
        <v>0</v>
      </c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</row>
    <row r="59" spans="1:25" ht="15.75">
      <c r="A59" s="200"/>
      <c r="B59" s="204" t="s">
        <v>458</v>
      </c>
      <c r="C59" s="151" t="s">
        <v>133</v>
      </c>
      <c r="D59" s="153">
        <v>1</v>
      </c>
      <c r="E59" s="231">
        <f>D59*E56</f>
        <v>1</v>
      </c>
      <c r="F59" s="231"/>
      <c r="G59" s="231">
        <f>F59*E59</f>
        <v>0</v>
      </c>
      <c r="H59" s="268"/>
      <c r="I59" s="203"/>
      <c r="J59" s="202"/>
      <c r="K59" s="203"/>
      <c r="L59" s="73">
        <f t="shared" si="6"/>
        <v>0</v>
      </c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</row>
    <row r="60" spans="1:25" ht="15.75">
      <c r="A60" s="698"/>
      <c r="B60" s="1004" t="s">
        <v>430</v>
      </c>
      <c r="C60" s="835"/>
      <c r="D60" s="843"/>
      <c r="E60" s="1005">
        <v>1</v>
      </c>
      <c r="F60" s="1005"/>
      <c r="G60" s="231">
        <f>F60*E60</f>
        <v>0</v>
      </c>
      <c r="H60" s="268"/>
      <c r="I60" s="203"/>
      <c r="J60" s="202"/>
      <c r="K60" s="203"/>
      <c r="L60" s="73">
        <f t="shared" si="6"/>
        <v>0</v>
      </c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</row>
    <row r="61" spans="1:25" s="19" customFormat="1">
      <c r="A61" s="1007"/>
      <c r="B61" s="1008" t="s">
        <v>246</v>
      </c>
      <c r="C61" s="1009" t="s">
        <v>65</v>
      </c>
      <c r="D61" s="756"/>
      <c r="E61" s="756">
        <v>1</v>
      </c>
      <c r="F61" s="756"/>
      <c r="G61" s="756">
        <f>F61*E61</f>
        <v>0</v>
      </c>
      <c r="H61" s="1010"/>
      <c r="I61" s="756"/>
      <c r="J61" s="756"/>
      <c r="K61" s="756"/>
      <c r="L61" s="746">
        <f t="shared" si="6"/>
        <v>0</v>
      </c>
    </row>
    <row r="62" spans="1:25">
      <c r="A62" s="322"/>
      <c r="B62" s="154" t="s">
        <v>54</v>
      </c>
      <c r="C62" s="151" t="s">
        <v>2</v>
      </c>
      <c r="D62" s="237">
        <v>0.94</v>
      </c>
      <c r="E62" s="238">
        <f>D62*E56</f>
        <v>0.94</v>
      </c>
      <c r="F62" s="234"/>
      <c r="G62" s="73">
        <f>E62*F62</f>
        <v>0</v>
      </c>
      <c r="H62" s="269"/>
      <c r="I62" s="295"/>
      <c r="J62" s="295"/>
      <c r="K62" s="295"/>
      <c r="L62" s="73">
        <f t="shared" si="6"/>
        <v>0</v>
      </c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</row>
    <row r="63" spans="1:25">
      <c r="A63" s="347">
        <v>8</v>
      </c>
      <c r="B63" s="373" t="s">
        <v>159</v>
      </c>
      <c r="C63" s="359" t="s">
        <v>107</v>
      </c>
      <c r="D63" s="374"/>
      <c r="E63" s="375">
        <v>1</v>
      </c>
      <c r="F63" s="376"/>
      <c r="G63" s="347"/>
      <c r="H63" s="377"/>
      <c r="I63" s="347"/>
      <c r="J63" s="347"/>
      <c r="K63" s="347"/>
      <c r="L63" s="354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</row>
    <row r="64" spans="1:25">
      <c r="A64" s="547"/>
      <c r="B64" s="236" t="s">
        <v>45</v>
      </c>
      <c r="C64" s="151" t="s">
        <v>133</v>
      </c>
      <c r="D64" s="151">
        <v>1</v>
      </c>
      <c r="E64" s="151">
        <f>D64*E63</f>
        <v>1</v>
      </c>
      <c r="F64" s="547"/>
      <c r="G64" s="547"/>
      <c r="H64" s="548"/>
      <c r="I64" s="73">
        <f>H64*E64</f>
        <v>0</v>
      </c>
      <c r="J64" s="547"/>
      <c r="K64" s="73"/>
      <c r="L64" s="73">
        <f t="shared" ref="L64:L68" si="7">K64+I64+G64</f>
        <v>0</v>
      </c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</row>
    <row r="65" spans="1:25">
      <c r="A65" s="321"/>
      <c r="B65" s="236" t="s">
        <v>53</v>
      </c>
      <c r="C65" s="151" t="s">
        <v>2</v>
      </c>
      <c r="D65" s="151">
        <v>7.0000000000000007E-2</v>
      </c>
      <c r="E65" s="251">
        <f>E63*D65</f>
        <v>7.0000000000000007E-2</v>
      </c>
      <c r="F65" s="898"/>
      <c r="G65" s="898"/>
      <c r="H65" s="293"/>
      <c r="I65" s="292"/>
      <c r="J65" s="292"/>
      <c r="K65" s="73">
        <f>J65*E65</f>
        <v>0</v>
      </c>
      <c r="L65" s="73">
        <f t="shared" si="7"/>
        <v>0</v>
      </c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</row>
    <row r="66" spans="1:25">
      <c r="A66" s="321"/>
      <c r="B66" s="236" t="s">
        <v>457</v>
      </c>
      <c r="C66" s="151" t="s">
        <v>133</v>
      </c>
      <c r="D66" s="151">
        <v>1</v>
      </c>
      <c r="E66" s="251">
        <f>D66*E63</f>
        <v>1</v>
      </c>
      <c r="F66" s="106"/>
      <c r="G66" s="73">
        <f>E66*F66</f>
        <v>0</v>
      </c>
      <c r="H66" s="269"/>
      <c r="I66" s="295"/>
      <c r="J66" s="295"/>
      <c r="K66" s="295"/>
      <c r="L66" s="73">
        <f t="shared" si="7"/>
        <v>0</v>
      </c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</row>
    <row r="67" spans="1:25">
      <c r="A67" s="801"/>
      <c r="B67" s="236" t="s">
        <v>431</v>
      </c>
      <c r="C67" s="151" t="s">
        <v>133</v>
      </c>
      <c r="D67" s="151">
        <v>1</v>
      </c>
      <c r="E67" s="251">
        <v>1</v>
      </c>
      <c r="F67" s="106"/>
      <c r="G67" s="73">
        <f>E67*F67</f>
        <v>0</v>
      </c>
      <c r="H67" s="269"/>
      <c r="I67" s="515"/>
      <c r="J67" s="515"/>
      <c r="K67" s="515"/>
      <c r="L67" s="73">
        <f t="shared" si="7"/>
        <v>0</v>
      </c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</row>
    <row r="68" spans="1:25">
      <c r="A68" s="322"/>
      <c r="B68" s="154" t="s">
        <v>54</v>
      </c>
      <c r="C68" s="151" t="s">
        <v>2</v>
      </c>
      <c r="D68" s="237">
        <v>0.37</v>
      </c>
      <c r="E68" s="238">
        <f>D68*E63</f>
        <v>0.37</v>
      </c>
      <c r="F68" s="234"/>
      <c r="G68" s="73">
        <f>E68*F68</f>
        <v>0</v>
      </c>
      <c r="H68" s="269"/>
      <c r="I68" s="295"/>
      <c r="J68" s="295"/>
      <c r="K68" s="295"/>
      <c r="L68" s="73">
        <f t="shared" si="7"/>
        <v>0</v>
      </c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</row>
    <row r="69" spans="1:25">
      <c r="A69" s="385"/>
      <c r="B69" s="385" t="s">
        <v>127</v>
      </c>
      <c r="C69" s="385"/>
      <c r="D69" s="386"/>
      <c r="E69" s="385"/>
      <c r="F69" s="385"/>
      <c r="G69" s="387">
        <f>SUM(G9:G68)</f>
        <v>0</v>
      </c>
      <c r="H69" s="388"/>
      <c r="I69" s="387">
        <f>SUM(I9:I68)</f>
        <v>0</v>
      </c>
      <c r="J69" s="387"/>
      <c r="K69" s="387">
        <f>SUM(K9:K68)</f>
        <v>0</v>
      </c>
      <c r="L69" s="387">
        <f>SUM(L9:L68)</f>
        <v>0</v>
      </c>
    </row>
    <row r="70" spans="1:25" s="197" customFormat="1" ht="16.5" customHeight="1">
      <c r="A70" s="750"/>
      <c r="B70" s="763" t="s">
        <v>356</v>
      </c>
      <c r="C70" s="899">
        <v>0.05</v>
      </c>
      <c r="D70" s="752"/>
      <c r="E70" s="753"/>
      <c r="F70" s="753"/>
      <c r="G70" s="756"/>
      <c r="H70" s="753"/>
      <c r="I70" s="756"/>
      <c r="J70" s="755"/>
      <c r="K70" s="756"/>
      <c r="L70" s="756">
        <f>G69*C70</f>
        <v>0</v>
      </c>
      <c r="M70" s="155"/>
      <c r="N70" s="128"/>
      <c r="T70" s="298"/>
    </row>
    <row r="71" spans="1:25" s="197" customFormat="1" ht="16.5" customHeight="1">
      <c r="A71" s="750"/>
      <c r="B71" s="129" t="s">
        <v>21</v>
      </c>
      <c r="C71" s="742"/>
      <c r="D71" s="752"/>
      <c r="E71" s="753"/>
      <c r="F71" s="753"/>
      <c r="G71" s="756"/>
      <c r="H71" s="753"/>
      <c r="I71" s="756"/>
      <c r="J71" s="755"/>
      <c r="K71" s="756"/>
      <c r="L71" s="900">
        <f>L69+L70</f>
        <v>0</v>
      </c>
      <c r="M71" s="155"/>
      <c r="N71" s="128"/>
      <c r="T71" s="298"/>
    </row>
    <row r="72" spans="1:25">
      <c r="A72" s="322"/>
      <c r="B72" s="292" t="s">
        <v>94</v>
      </c>
      <c r="C72" s="215">
        <v>0.1</v>
      </c>
      <c r="D72" s="292"/>
      <c r="E72" s="215"/>
      <c r="F72" s="292"/>
      <c r="G72" s="216"/>
      <c r="H72" s="293"/>
      <c r="I72" s="216"/>
      <c r="J72" s="216"/>
      <c r="K72" s="216"/>
      <c r="L72" s="216">
        <f>L71*C72</f>
        <v>0</v>
      </c>
    </row>
    <row r="73" spans="1:25">
      <c r="A73" s="322"/>
      <c r="B73" s="292" t="s">
        <v>21</v>
      </c>
      <c r="C73" s="295"/>
      <c r="D73" s="292"/>
      <c r="E73" s="295"/>
      <c r="F73" s="295"/>
      <c r="G73" s="217"/>
      <c r="H73" s="269"/>
      <c r="I73" s="217"/>
      <c r="J73" s="217"/>
      <c r="K73" s="217"/>
      <c r="L73" s="217">
        <f>L71+L72</f>
        <v>0</v>
      </c>
    </row>
    <row r="74" spans="1:25">
      <c r="A74" s="322"/>
      <c r="B74" s="292" t="s">
        <v>97</v>
      </c>
      <c r="C74" s="215">
        <v>0.08</v>
      </c>
      <c r="D74" s="292"/>
      <c r="E74" s="215"/>
      <c r="F74" s="292"/>
      <c r="G74" s="216"/>
      <c r="H74" s="293"/>
      <c r="I74" s="216"/>
      <c r="J74" s="216"/>
      <c r="K74" s="216"/>
      <c r="L74" s="216">
        <f>L73*C74</f>
        <v>0</v>
      </c>
    </row>
    <row r="75" spans="1:25">
      <c r="A75" s="322"/>
      <c r="B75" s="292" t="s">
        <v>21</v>
      </c>
      <c r="C75" s="295"/>
      <c r="D75" s="292"/>
      <c r="E75" s="295"/>
      <c r="F75" s="295"/>
      <c r="G75" s="217"/>
      <c r="H75" s="269"/>
      <c r="I75" s="217"/>
      <c r="J75" s="217"/>
      <c r="K75" s="217"/>
      <c r="L75" s="217">
        <f>SUM(L73:L74)</f>
        <v>0</v>
      </c>
    </row>
    <row r="76" spans="1:25" ht="21.95" customHeight="1">
      <c r="A76" s="48"/>
      <c r="B76" s="49"/>
      <c r="C76" s="50"/>
      <c r="D76" s="49"/>
      <c r="E76" s="49"/>
      <c r="F76" s="49"/>
      <c r="G76" s="49"/>
      <c r="H76" s="282"/>
      <c r="I76" s="49"/>
      <c r="J76" s="51"/>
      <c r="K76" s="49"/>
      <c r="L76" s="49"/>
    </row>
    <row r="77" spans="1:25" ht="21.95" customHeight="1">
      <c r="A77" s="48"/>
      <c r="B77" s="49"/>
      <c r="C77" s="50"/>
      <c r="D77" s="49"/>
      <c r="E77" s="49"/>
      <c r="F77" s="49"/>
      <c r="G77" s="49"/>
      <c r="H77" s="282"/>
      <c r="I77" s="49"/>
      <c r="J77" s="51"/>
      <c r="K77" s="49"/>
      <c r="L77" s="49"/>
    </row>
    <row r="78" spans="1:25" ht="21.95" customHeight="1">
      <c r="A78" s="48"/>
      <c r="B78" s="49"/>
      <c r="C78" s="50"/>
      <c r="D78" s="49"/>
      <c r="E78" s="49"/>
      <c r="F78" s="49"/>
      <c r="G78" s="49"/>
      <c r="H78" s="282"/>
      <c r="I78" s="49"/>
      <c r="J78" s="51"/>
      <c r="K78" s="49"/>
      <c r="L78" s="49"/>
    </row>
    <row r="79" spans="1:25" ht="21.95" customHeight="1">
      <c r="A79" s="48"/>
      <c r="B79" s="49"/>
      <c r="C79" s="50"/>
      <c r="D79" s="49"/>
      <c r="E79" s="49"/>
      <c r="F79" s="49"/>
      <c r="G79" s="49"/>
      <c r="H79" s="282"/>
      <c r="I79" s="49"/>
      <c r="J79" s="51"/>
      <c r="K79" s="49"/>
      <c r="L79" s="49"/>
    </row>
    <row r="80" spans="1:25" ht="21.95" customHeight="1">
      <c r="A80" s="48"/>
      <c r="B80" s="49"/>
      <c r="C80" s="50"/>
      <c r="D80" s="49"/>
      <c r="E80" s="49"/>
      <c r="F80" s="49"/>
      <c r="G80" s="49"/>
      <c r="H80" s="282"/>
      <c r="I80" s="49"/>
      <c r="J80" s="51"/>
      <c r="K80" s="49"/>
      <c r="L80" s="49"/>
    </row>
    <row r="81" spans="1:12" ht="21.95" customHeight="1">
      <c r="A81" s="48"/>
      <c r="B81" s="49"/>
      <c r="C81" s="50"/>
      <c r="D81" s="49"/>
      <c r="E81" s="49"/>
      <c r="F81" s="49"/>
      <c r="G81" s="49"/>
      <c r="H81" s="282"/>
      <c r="I81" s="49"/>
      <c r="J81" s="51"/>
      <c r="K81" s="49"/>
      <c r="L81" s="49"/>
    </row>
    <row r="82" spans="1:12" ht="21.95" customHeight="1">
      <c r="A82" s="48"/>
      <c r="B82" s="49"/>
      <c r="C82" s="50"/>
      <c r="D82" s="49"/>
      <c r="E82" s="49"/>
      <c r="F82" s="49"/>
      <c r="G82" s="49"/>
      <c r="H82" s="282"/>
      <c r="I82" s="49"/>
      <c r="J82" s="51"/>
      <c r="K82" s="49"/>
      <c r="L82" s="49"/>
    </row>
    <row r="83" spans="1:12" ht="21.95" customHeight="1">
      <c r="A83" s="48"/>
      <c r="B83" s="49"/>
      <c r="C83" s="50"/>
      <c r="D83" s="49"/>
      <c r="E83" s="49"/>
      <c r="F83" s="49"/>
      <c r="G83" s="49"/>
      <c r="H83" s="282"/>
      <c r="I83" s="49"/>
      <c r="J83" s="51"/>
      <c r="K83" s="49"/>
      <c r="L83" s="49"/>
    </row>
    <row r="84" spans="1:12" ht="21.95" customHeight="1">
      <c r="A84" s="48"/>
      <c r="B84" s="49"/>
      <c r="C84" s="50"/>
      <c r="D84" s="49"/>
      <c r="E84" s="49"/>
      <c r="F84" s="49"/>
      <c r="G84" s="49"/>
      <c r="H84" s="282"/>
      <c r="I84" s="49"/>
      <c r="J84" s="51"/>
      <c r="K84" s="49"/>
      <c r="L84" s="49"/>
    </row>
    <row r="85" spans="1:12" ht="21.95" customHeight="1">
      <c r="A85" s="48"/>
      <c r="B85" s="49"/>
      <c r="C85" s="50"/>
      <c r="D85" s="49"/>
      <c r="E85" s="49"/>
      <c r="F85" s="49"/>
      <c r="G85" s="49"/>
      <c r="H85" s="282"/>
      <c r="I85" s="49"/>
      <c r="J85" s="51"/>
      <c r="K85" s="49"/>
      <c r="L85" s="49"/>
    </row>
    <row r="86" spans="1:12" ht="21.95" customHeight="1">
      <c r="A86" s="48"/>
      <c r="B86" s="49"/>
      <c r="C86" s="50"/>
      <c r="D86" s="49"/>
      <c r="E86" s="49"/>
      <c r="F86" s="49"/>
      <c r="G86" s="49"/>
      <c r="H86" s="282"/>
      <c r="I86" s="49"/>
      <c r="J86" s="51"/>
      <c r="K86" s="49"/>
      <c r="L86" s="49"/>
    </row>
    <row r="87" spans="1:12" ht="21.95" customHeight="1">
      <c r="A87" s="48"/>
      <c r="B87" s="49"/>
      <c r="C87" s="50"/>
      <c r="D87" s="49"/>
      <c r="E87" s="49"/>
      <c r="F87" s="49"/>
      <c r="G87" s="49"/>
      <c r="H87" s="282"/>
      <c r="I87" s="49"/>
      <c r="J87" s="51"/>
      <c r="K87" s="49"/>
      <c r="L87" s="49"/>
    </row>
    <row r="88" spans="1:12" ht="21.95" customHeight="1">
      <c r="A88" s="48"/>
      <c r="B88" s="49"/>
      <c r="C88" s="50"/>
      <c r="D88" s="49"/>
      <c r="E88" s="49"/>
      <c r="F88" s="49"/>
      <c r="G88" s="49"/>
      <c r="H88" s="282"/>
      <c r="I88" s="49"/>
      <c r="J88" s="51"/>
      <c r="K88" s="49"/>
      <c r="L88" s="49"/>
    </row>
    <row r="89" spans="1:12" ht="21.95" customHeight="1">
      <c r="A89" s="48"/>
      <c r="B89" s="49"/>
      <c r="C89" s="50"/>
      <c r="D89" s="49"/>
      <c r="E89" s="49"/>
      <c r="F89" s="49"/>
      <c r="G89" s="49"/>
      <c r="H89" s="282"/>
      <c r="I89" s="49"/>
      <c r="J89" s="51"/>
      <c r="K89" s="49"/>
      <c r="L89" s="49"/>
    </row>
    <row r="90" spans="1:12" ht="21.95" customHeight="1">
      <c r="A90" s="48"/>
      <c r="B90" s="49"/>
      <c r="C90" s="50"/>
      <c r="D90" s="49"/>
      <c r="E90" s="49"/>
      <c r="F90" s="49"/>
      <c r="G90" s="49"/>
      <c r="H90" s="282"/>
      <c r="I90" s="49"/>
      <c r="J90" s="51"/>
      <c r="K90" s="49"/>
      <c r="L90" s="49"/>
    </row>
    <row r="91" spans="1:12" ht="21.95" customHeight="1">
      <c r="A91" s="48"/>
      <c r="B91" s="49"/>
      <c r="C91" s="50"/>
      <c r="D91" s="49"/>
      <c r="E91" s="49"/>
      <c r="F91" s="49"/>
      <c r="G91" s="49"/>
      <c r="H91" s="282"/>
      <c r="I91" s="49"/>
      <c r="J91" s="51"/>
      <c r="K91" s="49"/>
      <c r="L91" s="49"/>
    </row>
    <row r="92" spans="1:12" ht="21.95" customHeight="1">
      <c r="A92" s="48"/>
      <c r="B92" s="49"/>
      <c r="C92" s="50"/>
      <c r="D92" s="49"/>
      <c r="E92" s="49"/>
      <c r="F92" s="49"/>
      <c r="G92" s="49"/>
      <c r="H92" s="282"/>
      <c r="I92" s="49"/>
      <c r="J92" s="51"/>
      <c r="K92" s="49"/>
      <c r="L92" s="49"/>
    </row>
    <row r="93" spans="1:12" ht="21.95" customHeight="1">
      <c r="A93" s="48"/>
      <c r="B93" s="49"/>
      <c r="C93" s="50"/>
      <c r="D93" s="49"/>
      <c r="E93" s="49"/>
      <c r="F93" s="49"/>
      <c r="G93" s="49"/>
      <c r="H93" s="282"/>
      <c r="I93" s="49"/>
      <c r="J93" s="51"/>
      <c r="K93" s="49"/>
      <c r="L93" s="49"/>
    </row>
    <row r="94" spans="1:12" ht="21.95" customHeight="1">
      <c r="A94" s="48"/>
      <c r="B94" s="49"/>
      <c r="C94" s="50"/>
      <c r="D94" s="49"/>
      <c r="E94" s="49"/>
      <c r="F94" s="49"/>
      <c r="G94" s="49"/>
      <c r="H94" s="282"/>
      <c r="I94" s="49"/>
      <c r="J94" s="51"/>
      <c r="K94" s="49"/>
      <c r="L94" s="49"/>
    </row>
    <row r="95" spans="1:12" ht="21.95" customHeight="1">
      <c r="A95" s="48"/>
      <c r="B95" s="49"/>
      <c r="C95" s="50"/>
      <c r="D95" s="49"/>
      <c r="E95" s="49"/>
      <c r="F95" s="49"/>
      <c r="G95" s="49"/>
      <c r="H95" s="282"/>
      <c r="I95" s="49"/>
      <c r="J95" s="51"/>
      <c r="K95" s="49"/>
      <c r="L95" s="49"/>
    </row>
    <row r="96" spans="1:12" ht="21.95" customHeight="1">
      <c r="A96" s="48"/>
      <c r="B96" s="49"/>
      <c r="C96" s="50"/>
      <c r="D96" s="49"/>
      <c r="E96" s="49"/>
      <c r="F96" s="49"/>
      <c r="G96" s="49"/>
      <c r="H96" s="282"/>
      <c r="I96" s="49"/>
      <c r="J96" s="51"/>
      <c r="K96" s="49"/>
      <c r="L96" s="49"/>
    </row>
    <row r="97" spans="1:12" ht="21.95" customHeight="1">
      <c r="A97" s="48"/>
      <c r="B97" s="49"/>
      <c r="C97" s="50"/>
      <c r="D97" s="49"/>
      <c r="E97" s="49"/>
      <c r="F97" s="49"/>
      <c r="G97" s="49"/>
      <c r="H97" s="282"/>
      <c r="I97" s="49"/>
      <c r="J97" s="51"/>
      <c r="K97" s="49"/>
      <c r="L97" s="49"/>
    </row>
    <row r="98" spans="1:12" ht="21.95" customHeight="1">
      <c r="A98" s="48"/>
      <c r="B98" s="49"/>
      <c r="C98" s="50"/>
      <c r="D98" s="49"/>
      <c r="E98" s="49"/>
      <c r="F98" s="49"/>
      <c r="G98" s="49"/>
      <c r="H98" s="282"/>
      <c r="I98" s="49"/>
      <c r="J98" s="51"/>
      <c r="K98" s="49"/>
      <c r="L98" s="49"/>
    </row>
    <row r="99" spans="1:12" ht="21.95" customHeight="1">
      <c r="A99" s="48"/>
      <c r="B99" s="49"/>
      <c r="C99" s="50"/>
      <c r="D99" s="49"/>
      <c r="E99" s="49"/>
      <c r="F99" s="49"/>
      <c r="G99" s="49"/>
      <c r="H99" s="282"/>
      <c r="I99" s="49"/>
      <c r="J99" s="51"/>
      <c r="K99" s="49"/>
      <c r="L99" s="49"/>
    </row>
    <row r="100" spans="1:12" ht="21.95" customHeight="1">
      <c r="A100" s="48"/>
      <c r="B100" s="49"/>
      <c r="C100" s="50"/>
      <c r="D100" s="49"/>
      <c r="E100" s="49"/>
      <c r="F100" s="49"/>
      <c r="G100" s="49"/>
      <c r="H100" s="282"/>
      <c r="I100" s="49"/>
      <c r="J100" s="51"/>
      <c r="K100" s="49"/>
      <c r="L100" s="49"/>
    </row>
    <row r="101" spans="1:12" ht="21.95" customHeight="1">
      <c r="A101" s="48"/>
      <c r="B101" s="49"/>
      <c r="C101" s="50"/>
      <c r="D101" s="49"/>
      <c r="E101" s="49"/>
      <c r="F101" s="49"/>
      <c r="G101" s="49"/>
      <c r="H101" s="282"/>
      <c r="I101" s="49"/>
      <c r="J101" s="51"/>
      <c r="K101" s="49"/>
      <c r="L101" s="49"/>
    </row>
    <row r="102" spans="1:12" ht="21.95" customHeight="1">
      <c r="A102" s="48"/>
      <c r="B102" s="49"/>
      <c r="C102" s="50"/>
      <c r="D102" s="49"/>
      <c r="E102" s="49"/>
      <c r="F102" s="49"/>
      <c r="G102" s="49"/>
      <c r="H102" s="282"/>
      <c r="I102" s="49"/>
      <c r="J102" s="51"/>
      <c r="K102" s="49"/>
      <c r="L102" s="49"/>
    </row>
    <row r="103" spans="1:12" ht="21.95" customHeight="1">
      <c r="A103" s="48"/>
      <c r="B103" s="49"/>
      <c r="C103" s="50"/>
      <c r="D103" s="49"/>
      <c r="E103" s="49"/>
      <c r="F103" s="49"/>
      <c r="G103" s="49"/>
      <c r="H103" s="282"/>
      <c r="I103" s="49"/>
      <c r="J103" s="51"/>
      <c r="K103" s="49"/>
      <c r="L103" s="49"/>
    </row>
    <row r="104" spans="1:12" ht="21.95" customHeight="1">
      <c r="A104" s="48"/>
      <c r="B104" s="49"/>
      <c r="C104" s="50"/>
      <c r="D104" s="49"/>
      <c r="E104" s="49"/>
      <c r="F104" s="49"/>
      <c r="G104" s="49"/>
      <c r="H104" s="282"/>
      <c r="I104" s="49"/>
      <c r="J104" s="51"/>
      <c r="K104" s="49"/>
      <c r="L104" s="49"/>
    </row>
    <row r="105" spans="1:12" ht="21.95" customHeight="1">
      <c r="A105" s="48"/>
      <c r="B105" s="49"/>
      <c r="C105" s="50"/>
      <c r="D105" s="49"/>
      <c r="E105" s="49"/>
      <c r="F105" s="49"/>
      <c r="G105" s="49"/>
      <c r="H105" s="282"/>
      <c r="I105" s="49"/>
      <c r="J105" s="51"/>
      <c r="K105" s="49"/>
      <c r="L105" s="49"/>
    </row>
    <row r="106" spans="1:12" ht="21.95" customHeight="1">
      <c r="A106" s="48"/>
      <c r="B106" s="49"/>
      <c r="C106" s="50"/>
      <c r="D106" s="49"/>
      <c r="E106" s="49"/>
      <c r="F106" s="49"/>
      <c r="G106" s="49"/>
      <c r="H106" s="282"/>
      <c r="I106" s="49"/>
      <c r="J106" s="51"/>
      <c r="K106" s="49"/>
      <c r="L106" s="49"/>
    </row>
    <row r="107" spans="1:12" ht="21.95" customHeight="1">
      <c r="A107" s="48"/>
      <c r="B107" s="49"/>
      <c r="C107" s="50"/>
      <c r="D107" s="49"/>
      <c r="E107" s="49"/>
      <c r="F107" s="49"/>
      <c r="G107" s="49"/>
      <c r="H107" s="282"/>
      <c r="I107" s="49"/>
      <c r="J107" s="51"/>
      <c r="K107" s="49"/>
      <c r="L107" s="49"/>
    </row>
    <row r="108" spans="1:12" ht="21.95" customHeight="1">
      <c r="A108" s="48"/>
      <c r="B108" s="49"/>
      <c r="C108" s="50"/>
      <c r="D108" s="49"/>
      <c r="E108" s="49"/>
      <c r="F108" s="49"/>
      <c r="G108" s="49"/>
      <c r="H108" s="282"/>
      <c r="I108" s="49"/>
      <c r="J108" s="51"/>
      <c r="K108" s="49"/>
      <c r="L108" s="49"/>
    </row>
    <row r="109" spans="1:12" ht="21.95" customHeight="1">
      <c r="A109" s="48"/>
      <c r="B109" s="49"/>
      <c r="C109" s="50"/>
      <c r="D109" s="49"/>
      <c r="E109" s="49"/>
      <c r="F109" s="49"/>
      <c r="G109" s="49"/>
      <c r="H109" s="282"/>
      <c r="I109" s="49"/>
      <c r="J109" s="51"/>
      <c r="K109" s="49"/>
      <c r="L109" s="49"/>
    </row>
    <row r="110" spans="1:12" ht="21.95" customHeight="1">
      <c r="A110" s="48"/>
      <c r="B110" s="49"/>
      <c r="C110" s="50"/>
      <c r="D110" s="49"/>
      <c r="E110" s="49"/>
      <c r="F110" s="49"/>
      <c r="G110" s="49"/>
      <c r="H110" s="282"/>
      <c r="I110" s="49"/>
      <c r="J110" s="51"/>
      <c r="K110" s="49"/>
      <c r="L110" s="49"/>
    </row>
    <row r="111" spans="1:12" ht="21.95" customHeight="1">
      <c r="A111" s="48"/>
      <c r="B111" s="49"/>
      <c r="C111" s="50"/>
      <c r="D111" s="49"/>
      <c r="E111" s="49"/>
      <c r="F111" s="49"/>
      <c r="G111" s="49"/>
      <c r="H111" s="282"/>
      <c r="I111" s="49"/>
      <c r="J111" s="51"/>
      <c r="K111" s="49"/>
      <c r="L111" s="49"/>
    </row>
    <row r="112" spans="1:12" ht="21.95" customHeight="1">
      <c r="A112" s="48"/>
      <c r="B112" s="49"/>
      <c r="C112" s="50"/>
      <c r="D112" s="49"/>
      <c r="E112" s="49"/>
      <c r="F112" s="49"/>
      <c r="G112" s="49"/>
      <c r="H112" s="282"/>
      <c r="I112" s="49"/>
      <c r="J112" s="51"/>
      <c r="K112" s="49"/>
      <c r="L112" s="49"/>
    </row>
    <row r="113" spans="1:12" ht="21.95" customHeight="1">
      <c r="A113" s="48"/>
      <c r="B113" s="49"/>
      <c r="C113" s="50"/>
      <c r="D113" s="49"/>
      <c r="E113" s="49"/>
      <c r="F113" s="49"/>
      <c r="G113" s="49"/>
      <c r="H113" s="282"/>
      <c r="I113" s="49"/>
      <c r="J113" s="51"/>
      <c r="K113" s="49"/>
      <c r="L113" s="49"/>
    </row>
    <row r="114" spans="1:12" ht="21.95" customHeight="1">
      <c r="A114" s="48"/>
      <c r="B114" s="49"/>
      <c r="C114" s="50"/>
      <c r="D114" s="49"/>
      <c r="E114" s="49"/>
      <c r="F114" s="49"/>
      <c r="G114" s="49"/>
      <c r="H114" s="282"/>
      <c r="I114" s="49"/>
      <c r="J114" s="51"/>
      <c r="K114" s="49"/>
      <c r="L114" s="49"/>
    </row>
    <row r="115" spans="1:12" ht="21.95" customHeight="1">
      <c r="A115" s="48"/>
      <c r="B115" s="49"/>
      <c r="C115" s="50"/>
      <c r="D115" s="49"/>
      <c r="E115" s="49"/>
      <c r="F115" s="49"/>
      <c r="G115" s="49"/>
      <c r="H115" s="282"/>
      <c r="I115" s="49"/>
      <c r="J115" s="51"/>
      <c r="K115" s="49"/>
      <c r="L115" s="49"/>
    </row>
    <row r="116" spans="1:12" ht="21.95" customHeight="1">
      <c r="A116" s="48"/>
      <c r="B116" s="49"/>
      <c r="C116" s="50"/>
      <c r="D116" s="49"/>
      <c r="E116" s="49"/>
      <c r="F116" s="49"/>
      <c r="G116" s="49"/>
      <c r="H116" s="282"/>
      <c r="I116" s="49"/>
      <c r="J116" s="51"/>
      <c r="K116" s="49"/>
      <c r="L116" s="49"/>
    </row>
    <row r="117" spans="1:12" ht="21.95" customHeight="1">
      <c r="A117" s="48"/>
      <c r="B117" s="49"/>
      <c r="C117" s="50"/>
      <c r="D117" s="49"/>
      <c r="E117" s="49"/>
      <c r="F117" s="49"/>
      <c r="G117" s="49"/>
      <c r="H117" s="282"/>
      <c r="I117" s="49"/>
      <c r="J117" s="51"/>
      <c r="K117" s="49"/>
      <c r="L117" s="49"/>
    </row>
    <row r="118" spans="1:12" ht="21.95" customHeight="1">
      <c r="A118" s="48"/>
      <c r="B118" s="49"/>
      <c r="C118" s="50"/>
      <c r="D118" s="49"/>
      <c r="E118" s="49"/>
      <c r="F118" s="49"/>
      <c r="G118" s="49"/>
      <c r="H118" s="282"/>
      <c r="I118" s="49"/>
      <c r="J118" s="51"/>
      <c r="K118" s="49"/>
      <c r="L118" s="49"/>
    </row>
    <row r="119" spans="1:12" ht="21.95" customHeight="1">
      <c r="A119" s="48"/>
      <c r="B119" s="49"/>
      <c r="C119" s="50"/>
      <c r="D119" s="49"/>
      <c r="E119" s="49"/>
      <c r="F119" s="49"/>
      <c r="G119" s="49"/>
      <c r="H119" s="282"/>
      <c r="I119" s="49"/>
      <c r="J119" s="51"/>
      <c r="K119" s="49"/>
      <c r="L119" s="49"/>
    </row>
    <row r="120" spans="1:12" ht="21.95" customHeight="1">
      <c r="A120" s="48"/>
      <c r="B120" s="49"/>
      <c r="C120" s="50"/>
      <c r="D120" s="49"/>
      <c r="E120" s="49"/>
      <c r="F120" s="49"/>
      <c r="G120" s="49"/>
      <c r="H120" s="282"/>
      <c r="I120" s="49"/>
      <c r="J120" s="51"/>
      <c r="K120" s="49"/>
      <c r="L120" s="49"/>
    </row>
    <row r="121" spans="1:12" ht="21.95" customHeight="1">
      <c r="A121" s="48"/>
      <c r="B121" s="49"/>
      <c r="C121" s="50"/>
      <c r="D121" s="49"/>
      <c r="E121" s="49"/>
      <c r="F121" s="49"/>
      <c r="G121" s="49"/>
      <c r="H121" s="282"/>
      <c r="I121" s="49"/>
      <c r="J121" s="51"/>
      <c r="K121" s="49"/>
      <c r="L121" s="49"/>
    </row>
    <row r="122" spans="1:12" ht="21.95" customHeight="1">
      <c r="A122" s="48"/>
      <c r="B122" s="49"/>
      <c r="C122" s="50"/>
      <c r="D122" s="49"/>
      <c r="E122" s="49"/>
      <c r="F122" s="49"/>
      <c r="G122" s="49"/>
      <c r="H122" s="282"/>
      <c r="I122" s="49"/>
      <c r="J122" s="51"/>
      <c r="K122" s="49"/>
      <c r="L122" s="49"/>
    </row>
    <row r="123" spans="1:12" ht="21.95" customHeight="1">
      <c r="A123" s="48"/>
      <c r="B123" s="49"/>
      <c r="C123" s="50"/>
      <c r="D123" s="49"/>
      <c r="E123" s="49"/>
      <c r="F123" s="49"/>
      <c r="G123" s="49"/>
      <c r="H123" s="282"/>
      <c r="I123" s="49"/>
      <c r="J123" s="51"/>
      <c r="K123" s="49"/>
      <c r="L123" s="49"/>
    </row>
    <row r="124" spans="1:12" ht="21.95" customHeight="1">
      <c r="A124" s="48"/>
      <c r="B124" s="49"/>
      <c r="C124" s="50"/>
      <c r="D124" s="49"/>
      <c r="E124" s="49"/>
      <c r="F124" s="49"/>
      <c r="G124" s="49"/>
      <c r="H124" s="282"/>
      <c r="I124" s="49"/>
      <c r="J124" s="51"/>
      <c r="K124" s="49"/>
      <c r="L124" s="49"/>
    </row>
    <row r="125" spans="1:12" ht="21.95" customHeight="1">
      <c r="A125" s="48"/>
      <c r="B125" s="49"/>
      <c r="C125" s="50"/>
      <c r="D125" s="49"/>
      <c r="E125" s="49"/>
      <c r="F125" s="49"/>
      <c r="G125" s="49"/>
      <c r="H125" s="282"/>
      <c r="I125" s="49"/>
      <c r="J125" s="51"/>
      <c r="K125" s="49"/>
      <c r="L125" s="49"/>
    </row>
    <row r="126" spans="1:12" ht="21.95" customHeight="1">
      <c r="A126" s="48"/>
      <c r="B126" s="49"/>
      <c r="C126" s="50"/>
      <c r="D126" s="49"/>
      <c r="E126" s="49"/>
      <c r="F126" s="49"/>
      <c r="G126" s="49"/>
      <c r="H126" s="282"/>
      <c r="I126" s="49"/>
      <c r="J126" s="51"/>
      <c r="K126" s="49"/>
      <c r="L126" s="49"/>
    </row>
    <row r="127" spans="1:12" ht="21.95" customHeight="1">
      <c r="A127" s="48"/>
      <c r="B127" s="49"/>
      <c r="C127" s="50"/>
      <c r="D127" s="49"/>
      <c r="E127" s="49"/>
      <c r="F127" s="49"/>
      <c r="G127" s="49"/>
      <c r="H127" s="282"/>
      <c r="I127" s="49"/>
      <c r="J127" s="51"/>
      <c r="K127" s="49"/>
      <c r="L127" s="49"/>
    </row>
    <row r="128" spans="1:12" ht="21.95" customHeight="1">
      <c r="A128" s="48"/>
      <c r="B128" s="49"/>
      <c r="C128" s="50"/>
      <c r="D128" s="49"/>
      <c r="E128" s="49"/>
      <c r="F128" s="49"/>
      <c r="G128" s="49"/>
      <c r="H128" s="282"/>
      <c r="I128" s="49"/>
      <c r="J128" s="51"/>
      <c r="K128" s="49"/>
      <c r="L128" s="49"/>
    </row>
    <row r="129" spans="1:12" ht="21.95" customHeight="1">
      <c r="A129" s="48"/>
      <c r="B129" s="49"/>
      <c r="C129" s="50"/>
      <c r="D129" s="49"/>
      <c r="E129" s="49"/>
      <c r="F129" s="49"/>
      <c r="G129" s="49"/>
      <c r="H129" s="282"/>
      <c r="I129" s="49"/>
      <c r="J129" s="51"/>
      <c r="K129" s="49"/>
      <c r="L129" s="49"/>
    </row>
    <row r="130" spans="1:12" ht="21.95" customHeight="1">
      <c r="A130" s="48"/>
      <c r="B130" s="49"/>
      <c r="C130" s="50"/>
      <c r="D130" s="49"/>
      <c r="E130" s="49"/>
      <c r="F130" s="49"/>
      <c r="G130" s="49"/>
      <c r="H130" s="282"/>
      <c r="I130" s="49"/>
      <c r="J130" s="51"/>
      <c r="K130" s="49"/>
      <c r="L130" s="49"/>
    </row>
    <row r="131" spans="1:12" ht="21.95" customHeight="1">
      <c r="A131" s="48"/>
      <c r="B131" s="49"/>
      <c r="C131" s="50"/>
      <c r="D131" s="49"/>
      <c r="E131" s="49"/>
      <c r="F131" s="49"/>
      <c r="G131" s="49"/>
      <c r="H131" s="282"/>
      <c r="I131" s="49"/>
      <c r="J131" s="51"/>
      <c r="K131" s="49"/>
      <c r="L131" s="49"/>
    </row>
    <row r="132" spans="1:12" ht="21.95" customHeight="1">
      <c r="A132" s="48"/>
      <c r="B132" s="49"/>
      <c r="C132" s="50"/>
      <c r="D132" s="49"/>
      <c r="E132" s="49"/>
      <c r="F132" s="49"/>
      <c r="G132" s="49"/>
      <c r="H132" s="282"/>
      <c r="I132" s="49"/>
      <c r="J132" s="51"/>
      <c r="K132" s="49"/>
      <c r="L132" s="49"/>
    </row>
    <row r="133" spans="1:12" ht="21.95" customHeight="1">
      <c r="A133" s="48"/>
      <c r="B133" s="49"/>
      <c r="C133" s="50"/>
      <c r="D133" s="49"/>
      <c r="E133" s="49"/>
      <c r="F133" s="49"/>
      <c r="G133" s="49"/>
      <c r="H133" s="282"/>
      <c r="I133" s="49"/>
      <c r="J133" s="51"/>
      <c r="K133" s="49"/>
      <c r="L133" s="49"/>
    </row>
    <row r="134" spans="1:12" ht="21.95" customHeight="1">
      <c r="A134" s="48"/>
      <c r="B134" s="49"/>
      <c r="C134" s="50"/>
      <c r="D134" s="49"/>
      <c r="E134" s="49"/>
      <c r="F134" s="49"/>
      <c r="G134" s="49"/>
      <c r="H134" s="282"/>
      <c r="I134" s="49"/>
      <c r="J134" s="51"/>
      <c r="K134" s="49"/>
      <c r="L134" s="49"/>
    </row>
    <row r="135" spans="1:12" ht="21.95" customHeight="1">
      <c r="A135" s="48"/>
      <c r="B135" s="49"/>
      <c r="C135" s="50"/>
      <c r="D135" s="49"/>
      <c r="E135" s="49"/>
      <c r="F135" s="49"/>
      <c r="G135" s="49"/>
      <c r="H135" s="282"/>
      <c r="I135" s="49"/>
      <c r="J135" s="51"/>
      <c r="K135" s="49"/>
      <c r="L135" s="49"/>
    </row>
    <row r="136" spans="1:12" ht="36.6" customHeight="1">
      <c r="A136" s="48"/>
      <c r="B136" s="49"/>
      <c r="C136" s="50"/>
      <c r="D136" s="49"/>
      <c r="E136" s="49"/>
      <c r="F136" s="49"/>
      <c r="G136" s="49"/>
      <c r="H136" s="282"/>
      <c r="I136" s="49"/>
      <c r="J136" s="51"/>
      <c r="K136" s="49"/>
      <c r="L136" s="49"/>
    </row>
    <row r="137" spans="1:12" ht="21.95" customHeight="1">
      <c r="A137" s="48"/>
      <c r="B137" s="49"/>
      <c r="C137" s="50"/>
      <c r="D137" s="49"/>
      <c r="E137" s="49"/>
      <c r="F137" s="49"/>
      <c r="G137" s="49"/>
      <c r="H137" s="282"/>
      <c r="I137" s="49"/>
      <c r="J137" s="51"/>
      <c r="K137" s="49"/>
      <c r="L137" s="49"/>
    </row>
    <row r="138" spans="1:12" ht="21.95" customHeight="1">
      <c r="A138" s="48"/>
      <c r="B138" s="49"/>
      <c r="C138" s="50"/>
      <c r="D138" s="49"/>
      <c r="E138" s="49"/>
      <c r="F138" s="49"/>
      <c r="G138" s="49"/>
      <c r="H138" s="282"/>
      <c r="I138" s="49"/>
      <c r="J138" s="51"/>
      <c r="K138" s="49"/>
      <c r="L138" s="49"/>
    </row>
    <row r="139" spans="1:12" ht="21.95" customHeight="1">
      <c r="A139" s="48"/>
      <c r="B139" s="49"/>
      <c r="C139" s="50"/>
      <c r="D139" s="49"/>
      <c r="E139" s="49"/>
      <c r="F139" s="49"/>
      <c r="G139" s="49"/>
      <c r="H139" s="282"/>
      <c r="I139" s="49"/>
      <c r="J139" s="51"/>
      <c r="K139" s="49"/>
      <c r="L139" s="49"/>
    </row>
    <row r="140" spans="1:12" ht="21.95" customHeight="1">
      <c r="A140" s="48"/>
      <c r="B140" s="49"/>
      <c r="C140" s="50"/>
      <c r="D140" s="49"/>
      <c r="E140" s="49"/>
      <c r="F140" s="49"/>
      <c r="G140" s="49"/>
      <c r="H140" s="282"/>
      <c r="I140" s="49"/>
      <c r="J140" s="51"/>
      <c r="K140" s="49"/>
      <c r="L140" s="49"/>
    </row>
    <row r="141" spans="1:12" ht="21.95" customHeight="1">
      <c r="A141" s="48"/>
      <c r="B141" s="49"/>
      <c r="C141" s="50"/>
      <c r="D141" s="49"/>
      <c r="E141" s="49"/>
      <c r="F141" s="49"/>
      <c r="G141" s="49"/>
      <c r="H141" s="282"/>
      <c r="I141" s="49"/>
      <c r="J141" s="51"/>
      <c r="K141" s="49"/>
      <c r="L141" s="49"/>
    </row>
    <row r="142" spans="1:12" ht="21.95" customHeight="1">
      <c r="A142" s="48"/>
      <c r="B142" s="49"/>
      <c r="C142" s="50"/>
      <c r="D142" s="49"/>
      <c r="E142" s="49"/>
      <c r="F142" s="49"/>
      <c r="G142" s="49"/>
      <c r="H142" s="282"/>
      <c r="I142" s="49"/>
      <c r="J142" s="51"/>
      <c r="K142" s="49"/>
      <c r="L142" s="49"/>
    </row>
    <row r="143" spans="1:12" ht="42.6" customHeight="1">
      <c r="A143" s="48"/>
      <c r="B143" s="49"/>
      <c r="C143" s="50"/>
      <c r="D143" s="49"/>
      <c r="E143" s="49"/>
      <c r="F143" s="49"/>
      <c r="G143" s="49"/>
      <c r="H143" s="282"/>
      <c r="I143" s="49"/>
      <c r="J143" s="51"/>
      <c r="K143" s="49"/>
      <c r="L143" s="49"/>
    </row>
    <row r="144" spans="1:12" ht="21.95" customHeight="1">
      <c r="A144" s="48"/>
      <c r="B144" s="49"/>
      <c r="C144" s="50"/>
      <c r="D144" s="49"/>
      <c r="E144" s="49"/>
      <c r="F144" s="49"/>
      <c r="G144" s="49"/>
      <c r="H144" s="282"/>
      <c r="I144" s="49"/>
      <c r="J144" s="51"/>
      <c r="K144" s="49"/>
      <c r="L144" s="49"/>
    </row>
    <row r="145" spans="1:12" ht="21.95" customHeight="1">
      <c r="A145" s="48"/>
      <c r="B145" s="49"/>
      <c r="C145" s="50"/>
      <c r="D145" s="49"/>
      <c r="E145" s="49"/>
      <c r="F145" s="49"/>
      <c r="G145" s="49"/>
      <c r="H145" s="282"/>
      <c r="I145" s="49"/>
      <c r="J145" s="51"/>
      <c r="K145" s="49"/>
      <c r="L145" s="49"/>
    </row>
    <row r="146" spans="1:12" ht="21.95" customHeight="1">
      <c r="A146" s="48"/>
      <c r="B146" s="49"/>
      <c r="C146" s="50"/>
      <c r="D146" s="49"/>
      <c r="E146" s="49"/>
      <c r="F146" s="49"/>
      <c r="G146" s="49"/>
      <c r="H146" s="282"/>
      <c r="I146" s="49"/>
      <c r="J146" s="51"/>
      <c r="K146" s="49"/>
      <c r="L146" s="49"/>
    </row>
    <row r="147" spans="1:12" ht="21.95" customHeight="1">
      <c r="A147" s="48"/>
      <c r="B147" s="49"/>
      <c r="C147" s="50"/>
      <c r="D147" s="49"/>
      <c r="E147" s="49"/>
      <c r="F147" s="49"/>
      <c r="G147" s="49"/>
      <c r="H147" s="282"/>
      <c r="I147" s="49"/>
      <c r="J147" s="51"/>
      <c r="K147" s="49"/>
      <c r="L147" s="49"/>
    </row>
    <row r="148" spans="1:12" ht="21.95" customHeight="1">
      <c r="A148" s="48"/>
      <c r="B148" s="49"/>
      <c r="C148" s="50"/>
      <c r="D148" s="49"/>
      <c r="E148" s="49"/>
      <c r="F148" s="49"/>
      <c r="G148" s="49"/>
      <c r="H148" s="282"/>
      <c r="I148" s="49"/>
      <c r="J148" s="51"/>
      <c r="K148" s="49"/>
      <c r="L148" s="49"/>
    </row>
    <row r="149" spans="1:12" ht="21.95" customHeight="1">
      <c r="A149" s="48"/>
      <c r="B149" s="49"/>
      <c r="C149" s="50"/>
      <c r="D149" s="49"/>
      <c r="E149" s="49"/>
      <c r="F149" s="49"/>
      <c r="G149" s="49"/>
      <c r="H149" s="282"/>
      <c r="I149" s="49"/>
      <c r="J149" s="51"/>
      <c r="K149" s="49"/>
      <c r="L149" s="49"/>
    </row>
    <row r="150" spans="1:12" ht="39.6" customHeight="1">
      <c r="A150" s="48"/>
      <c r="B150" s="49"/>
      <c r="C150" s="50"/>
      <c r="D150" s="49"/>
      <c r="E150" s="49"/>
      <c r="F150" s="49"/>
      <c r="G150" s="49"/>
      <c r="H150" s="282"/>
      <c r="I150" s="49"/>
      <c r="J150" s="51"/>
      <c r="K150" s="49"/>
      <c r="L150" s="49"/>
    </row>
    <row r="151" spans="1:12" ht="21.95" customHeight="1">
      <c r="A151" s="48"/>
      <c r="B151" s="49"/>
      <c r="C151" s="50"/>
      <c r="D151" s="49"/>
      <c r="E151" s="49"/>
      <c r="F151" s="49"/>
      <c r="G151" s="49"/>
      <c r="H151" s="282"/>
      <c r="I151" s="49"/>
      <c r="J151" s="51"/>
      <c r="K151" s="49"/>
      <c r="L151" s="49"/>
    </row>
    <row r="152" spans="1:12" ht="21.95" customHeight="1">
      <c r="A152" s="48"/>
      <c r="B152" s="49"/>
      <c r="C152" s="50"/>
      <c r="D152" s="49"/>
      <c r="E152" s="49"/>
      <c r="F152" s="49"/>
      <c r="G152" s="49"/>
      <c r="H152" s="282"/>
      <c r="I152" s="49"/>
      <c r="J152" s="51"/>
      <c r="K152" s="49"/>
      <c r="L152" s="49"/>
    </row>
    <row r="153" spans="1:12" ht="21.95" customHeight="1">
      <c r="A153" s="48"/>
      <c r="B153" s="49"/>
      <c r="C153" s="50"/>
      <c r="D153" s="49"/>
      <c r="E153" s="49"/>
      <c r="F153" s="49"/>
      <c r="G153" s="49"/>
      <c r="H153" s="282"/>
      <c r="I153" s="49"/>
      <c r="J153" s="51"/>
      <c r="K153" s="49"/>
      <c r="L153" s="49"/>
    </row>
    <row r="154" spans="1:12" ht="21.95" customHeight="1">
      <c r="A154" s="48"/>
      <c r="B154" s="49"/>
      <c r="C154" s="50"/>
      <c r="D154" s="49"/>
      <c r="E154" s="49"/>
      <c r="F154" s="49"/>
      <c r="G154" s="49"/>
      <c r="H154" s="282"/>
      <c r="I154" s="49"/>
      <c r="J154" s="51"/>
      <c r="K154" s="49"/>
      <c r="L154" s="49"/>
    </row>
    <row r="155" spans="1:12" ht="21.95" customHeight="1">
      <c r="A155" s="48"/>
      <c r="B155" s="49"/>
      <c r="C155" s="50"/>
      <c r="D155" s="49"/>
      <c r="E155" s="49"/>
      <c r="F155" s="49"/>
      <c r="G155" s="49"/>
      <c r="H155" s="282"/>
      <c r="I155" s="49"/>
      <c r="J155" s="51"/>
      <c r="K155" s="49"/>
      <c r="L155" s="49"/>
    </row>
    <row r="156" spans="1:12" ht="21.95" customHeight="1">
      <c r="A156" s="48"/>
      <c r="B156" s="49"/>
      <c r="C156" s="50"/>
      <c r="D156" s="49"/>
      <c r="E156" s="49"/>
      <c r="F156" s="49"/>
      <c r="G156" s="49"/>
      <c r="H156" s="282"/>
      <c r="I156" s="49"/>
      <c r="J156" s="51"/>
      <c r="K156" s="49"/>
      <c r="L156" s="49"/>
    </row>
    <row r="157" spans="1:12" ht="21.95" customHeight="1">
      <c r="A157" s="48"/>
      <c r="B157" s="49"/>
      <c r="C157" s="50"/>
      <c r="D157" s="49"/>
      <c r="E157" s="49"/>
      <c r="F157" s="49"/>
      <c r="G157" s="49"/>
      <c r="H157" s="282"/>
      <c r="I157" s="49"/>
      <c r="J157" s="51"/>
      <c r="K157" s="49"/>
      <c r="L157" s="49"/>
    </row>
    <row r="158" spans="1:12" ht="21.95" customHeight="1">
      <c r="A158" s="48"/>
      <c r="B158" s="49"/>
      <c r="C158" s="50"/>
      <c r="D158" s="49"/>
      <c r="E158" s="49"/>
      <c r="F158" s="49"/>
      <c r="G158" s="49"/>
      <c r="H158" s="282"/>
      <c r="I158" s="49"/>
      <c r="J158" s="51"/>
      <c r="K158" s="49"/>
      <c r="L158" s="49"/>
    </row>
    <row r="159" spans="1:12" ht="21.95" customHeight="1">
      <c r="A159" s="48"/>
      <c r="B159" s="49"/>
      <c r="C159" s="50"/>
      <c r="D159" s="49"/>
      <c r="E159" s="49"/>
      <c r="F159" s="49"/>
      <c r="G159" s="49"/>
      <c r="H159" s="282"/>
      <c r="I159" s="49"/>
      <c r="J159" s="51"/>
      <c r="K159" s="49"/>
      <c r="L159" s="49"/>
    </row>
    <row r="160" spans="1:12" ht="21.95" customHeight="1">
      <c r="A160" s="48"/>
      <c r="B160" s="49"/>
      <c r="C160" s="50"/>
      <c r="D160" s="49"/>
      <c r="E160" s="49"/>
      <c r="F160" s="49"/>
      <c r="G160" s="49"/>
      <c r="H160" s="282"/>
      <c r="I160" s="49"/>
      <c r="J160" s="51"/>
      <c r="K160" s="49"/>
      <c r="L160" s="49"/>
    </row>
    <row r="161" spans="1:12" ht="21.95" customHeight="1">
      <c r="A161" s="48"/>
      <c r="B161" s="49"/>
      <c r="C161" s="50"/>
      <c r="D161" s="49"/>
      <c r="E161" s="49"/>
      <c r="F161" s="49"/>
      <c r="G161" s="49"/>
      <c r="H161" s="282"/>
      <c r="I161" s="49"/>
      <c r="J161" s="51"/>
      <c r="K161" s="49"/>
      <c r="L161" s="49"/>
    </row>
    <row r="162" spans="1:12" ht="21.95" customHeight="1">
      <c r="A162" s="48"/>
      <c r="B162" s="49"/>
      <c r="C162" s="50"/>
      <c r="D162" s="49"/>
      <c r="E162" s="49"/>
      <c r="F162" s="49"/>
      <c r="G162" s="49"/>
      <c r="H162" s="282"/>
      <c r="I162" s="49"/>
      <c r="J162" s="51"/>
      <c r="K162" s="49"/>
      <c r="L162" s="49"/>
    </row>
    <row r="163" spans="1:12" ht="21.95" customHeight="1">
      <c r="A163" s="48"/>
      <c r="B163" s="49"/>
      <c r="C163" s="50"/>
      <c r="D163" s="49"/>
      <c r="E163" s="49"/>
      <c r="F163" s="49"/>
      <c r="G163" s="49"/>
      <c r="H163" s="282"/>
      <c r="I163" s="49"/>
      <c r="J163" s="51"/>
      <c r="K163" s="49"/>
      <c r="L163" s="49"/>
    </row>
    <row r="164" spans="1:12" ht="21.95" customHeight="1">
      <c r="A164" s="48"/>
      <c r="B164" s="49"/>
      <c r="C164" s="50"/>
      <c r="D164" s="49"/>
      <c r="E164" s="49"/>
      <c r="F164" s="49"/>
      <c r="G164" s="49"/>
      <c r="H164" s="282"/>
      <c r="I164" s="49"/>
      <c r="J164" s="51"/>
      <c r="K164" s="49"/>
      <c r="L164" s="49"/>
    </row>
    <row r="165" spans="1:12" ht="21.95" customHeight="1">
      <c r="A165" s="48"/>
      <c r="B165" s="49"/>
      <c r="C165" s="50"/>
      <c r="D165" s="49"/>
      <c r="E165" s="49"/>
      <c r="F165" s="49"/>
      <c r="G165" s="49"/>
      <c r="H165" s="282"/>
      <c r="I165" s="49"/>
      <c r="J165" s="51"/>
      <c r="K165" s="49"/>
      <c r="L165" s="49"/>
    </row>
    <row r="166" spans="1:12" ht="21.95" customHeight="1">
      <c r="A166" s="48"/>
      <c r="B166" s="49"/>
      <c r="C166" s="50"/>
      <c r="D166" s="49"/>
      <c r="E166" s="49"/>
      <c r="F166" s="49"/>
      <c r="G166" s="49"/>
      <c r="H166" s="282"/>
      <c r="I166" s="49"/>
      <c r="J166" s="51"/>
      <c r="K166" s="49"/>
      <c r="L166" s="49"/>
    </row>
    <row r="167" spans="1:12" ht="21.95" customHeight="1">
      <c r="A167" s="48"/>
      <c r="B167" s="49"/>
      <c r="C167" s="50"/>
      <c r="D167" s="49"/>
      <c r="E167" s="49"/>
      <c r="F167" s="49"/>
      <c r="G167" s="49"/>
      <c r="H167" s="282"/>
      <c r="I167" s="49"/>
      <c r="J167" s="51"/>
      <c r="K167" s="49"/>
      <c r="L167" s="49"/>
    </row>
    <row r="168" spans="1:12" ht="21.95" customHeight="1">
      <c r="B168" s="46"/>
    </row>
    <row r="169" spans="1:12" ht="21.95" customHeight="1">
      <c r="B169" s="46"/>
    </row>
    <row r="170" spans="1:12" ht="21.95" customHeight="1">
      <c r="B170" s="46"/>
    </row>
    <row r="171" spans="1:12" ht="21.95" customHeight="1">
      <c r="B171" s="46"/>
    </row>
    <row r="172" spans="1:12" ht="21.95" customHeight="1">
      <c r="B172" s="46"/>
    </row>
    <row r="173" spans="1:12" ht="21.95" customHeight="1">
      <c r="B173" s="46"/>
    </row>
    <row r="174" spans="1:12" ht="21.95" customHeight="1">
      <c r="B174" s="46"/>
    </row>
    <row r="175" spans="1:12" ht="21.95" customHeight="1">
      <c r="B175" s="46"/>
    </row>
    <row r="176" spans="1:12" ht="21.95" customHeight="1">
      <c r="B176" s="46"/>
    </row>
    <row r="177" spans="2:2" ht="21.95" customHeight="1">
      <c r="B177" s="46"/>
    </row>
    <row r="178" spans="2:2" ht="21.95" customHeight="1">
      <c r="B178" s="46"/>
    </row>
    <row r="179" spans="2:2" ht="21.95" customHeight="1">
      <c r="B179" s="46"/>
    </row>
    <row r="180" spans="2:2" ht="21.95" customHeight="1">
      <c r="B180" s="46"/>
    </row>
    <row r="181" spans="2:2" ht="21.95" customHeight="1">
      <c r="B181" s="46"/>
    </row>
    <row r="182" spans="2:2" ht="21.95" customHeight="1">
      <c r="B182" s="46"/>
    </row>
    <row r="183" spans="2:2" ht="21.95" customHeight="1">
      <c r="B183" s="46"/>
    </row>
    <row r="184" spans="2:2" ht="21.95" customHeight="1">
      <c r="B184" s="46"/>
    </row>
    <row r="185" spans="2:2" ht="21.95" customHeight="1">
      <c r="B185" s="46"/>
    </row>
    <row r="186" spans="2:2" ht="21.95" customHeight="1">
      <c r="B186" s="46"/>
    </row>
    <row r="187" spans="2:2" ht="21.95" customHeight="1">
      <c r="B187" s="46"/>
    </row>
    <row r="188" spans="2:2" ht="21.95" customHeight="1">
      <c r="B188" s="46"/>
    </row>
    <row r="189" spans="2:2" ht="21.95" customHeight="1">
      <c r="B189" s="46"/>
    </row>
    <row r="190" spans="2:2" ht="21.95" customHeight="1">
      <c r="B190" s="46"/>
    </row>
    <row r="191" spans="2:2" ht="21.95" customHeight="1">
      <c r="B191" s="46"/>
    </row>
    <row r="192" spans="2:2" ht="21.95" customHeight="1">
      <c r="B192" s="46"/>
    </row>
    <row r="193" spans="2:2" ht="21.95" customHeight="1">
      <c r="B193" s="46"/>
    </row>
    <row r="194" spans="2:2" ht="21.95" customHeight="1">
      <c r="B194" s="46"/>
    </row>
    <row r="195" spans="2:2" ht="21.95" customHeight="1">
      <c r="B195" s="46"/>
    </row>
    <row r="196" spans="2:2" ht="21.95" customHeight="1">
      <c r="B196" s="46"/>
    </row>
    <row r="197" spans="2:2" ht="21.95" customHeight="1">
      <c r="B197" s="46"/>
    </row>
    <row r="198" spans="2:2" ht="21.95" customHeight="1">
      <c r="B198" s="46"/>
    </row>
    <row r="199" spans="2:2" ht="21.95" customHeight="1">
      <c r="B199" s="46"/>
    </row>
    <row r="200" spans="2:2" ht="21.95" customHeight="1">
      <c r="B200" s="46"/>
    </row>
    <row r="201" spans="2:2" ht="21.95" customHeight="1">
      <c r="B201" s="46"/>
    </row>
    <row r="202" spans="2:2" ht="21.95" customHeight="1">
      <c r="B202" s="46"/>
    </row>
    <row r="203" spans="2:2" ht="21.95" customHeight="1">
      <c r="B203" s="46"/>
    </row>
    <row r="204" spans="2:2" ht="21.95" customHeight="1">
      <c r="B204" s="46"/>
    </row>
    <row r="205" spans="2:2" ht="21.95" customHeight="1">
      <c r="B205" s="46"/>
    </row>
    <row r="206" spans="2:2" ht="21.95" customHeight="1">
      <c r="B206" s="46"/>
    </row>
    <row r="207" spans="2:2" ht="21.95" customHeight="1">
      <c r="B207" s="46"/>
    </row>
    <row r="208" spans="2:2" ht="21.95" customHeight="1">
      <c r="B208" s="46"/>
    </row>
    <row r="209" spans="1:12" ht="21.95" customHeight="1">
      <c r="B209" s="46"/>
    </row>
    <row r="210" spans="1:12" ht="21.95" customHeight="1">
      <c r="B210" s="46"/>
    </row>
    <row r="211" spans="1:12" ht="21.95" customHeight="1">
      <c r="B211" s="46"/>
    </row>
    <row r="212" spans="1:12" ht="21.95" customHeight="1">
      <c r="B212" s="46"/>
    </row>
    <row r="213" spans="1:12" ht="21.95" customHeight="1">
      <c r="B213" s="46"/>
    </row>
    <row r="214" spans="1:12" ht="21.95" customHeight="1">
      <c r="B214" s="46"/>
    </row>
    <row r="215" spans="1:12" ht="21.95" customHeight="1">
      <c r="A215" s="53"/>
      <c r="B215" s="20"/>
      <c r="D215" s="20"/>
      <c r="E215" s="20"/>
      <c r="F215" s="20"/>
      <c r="G215" s="20"/>
      <c r="H215" s="284"/>
      <c r="I215" s="20"/>
      <c r="J215" s="57"/>
      <c r="K215" s="20"/>
      <c r="L215" s="20"/>
    </row>
    <row r="216" spans="1:12" ht="21.95" customHeight="1">
      <c r="A216" s="53"/>
      <c r="B216" s="20"/>
      <c r="D216" s="20"/>
      <c r="E216" s="20"/>
      <c r="F216" s="20"/>
      <c r="G216" s="20"/>
      <c r="H216" s="284"/>
      <c r="I216" s="20"/>
      <c r="J216" s="57"/>
      <c r="K216" s="20"/>
      <c r="L216" s="20"/>
    </row>
    <row r="217" spans="1:12" ht="21.95" customHeight="1">
      <c r="A217" s="53"/>
      <c r="B217" s="20"/>
      <c r="D217" s="20"/>
      <c r="E217" s="20"/>
      <c r="F217" s="20"/>
      <c r="G217" s="20"/>
      <c r="H217" s="284"/>
      <c r="I217" s="20"/>
      <c r="J217" s="57"/>
      <c r="K217" s="20"/>
      <c r="L217" s="20"/>
    </row>
    <row r="218" spans="1:12" ht="21.95" customHeight="1">
      <c r="A218" s="53"/>
      <c r="B218" s="20"/>
      <c r="D218" s="20"/>
      <c r="E218" s="20"/>
      <c r="F218" s="20"/>
      <c r="G218" s="20"/>
      <c r="H218" s="284"/>
      <c r="I218" s="20"/>
      <c r="J218" s="57"/>
      <c r="K218" s="20"/>
      <c r="L218" s="20"/>
    </row>
    <row r="219" spans="1:12" ht="21.95" customHeight="1">
      <c r="A219" s="53"/>
      <c r="B219" s="20"/>
      <c r="D219" s="20"/>
      <c r="E219" s="20"/>
      <c r="F219" s="20"/>
      <c r="G219" s="20"/>
      <c r="H219" s="284"/>
      <c r="I219" s="20"/>
      <c r="J219" s="57"/>
      <c r="K219" s="20"/>
      <c r="L219" s="20"/>
    </row>
    <row r="220" spans="1:12" ht="21.95" customHeight="1">
      <c r="A220" s="53"/>
      <c r="B220" s="20"/>
      <c r="D220" s="20"/>
      <c r="E220" s="20"/>
      <c r="F220" s="20"/>
      <c r="G220" s="20"/>
      <c r="H220" s="284"/>
      <c r="I220" s="20"/>
      <c r="J220" s="57"/>
      <c r="K220" s="20"/>
      <c r="L220" s="20"/>
    </row>
    <row r="221" spans="1:12" ht="21.95" customHeight="1">
      <c r="A221" s="53"/>
      <c r="B221" s="20"/>
      <c r="D221" s="20"/>
      <c r="E221" s="20"/>
      <c r="F221" s="20"/>
      <c r="G221" s="20"/>
      <c r="H221" s="284"/>
      <c r="I221" s="20"/>
      <c r="J221" s="57"/>
      <c r="K221" s="20"/>
      <c r="L221" s="20"/>
    </row>
    <row r="222" spans="1:12" ht="21.95" customHeight="1">
      <c r="A222" s="53"/>
      <c r="B222" s="20"/>
      <c r="D222" s="20"/>
      <c r="E222" s="20"/>
      <c r="F222" s="20"/>
      <c r="G222" s="20"/>
      <c r="H222" s="284"/>
      <c r="I222" s="20"/>
      <c r="J222" s="57"/>
      <c r="K222" s="20"/>
      <c r="L222" s="20"/>
    </row>
    <row r="223" spans="1:12" ht="21.95" customHeight="1">
      <c r="A223" s="53"/>
      <c r="B223" s="20"/>
      <c r="D223" s="20"/>
      <c r="E223" s="20"/>
      <c r="F223" s="20"/>
      <c r="G223" s="20"/>
      <c r="H223" s="284"/>
      <c r="I223" s="20"/>
      <c r="J223" s="57"/>
      <c r="K223" s="20"/>
      <c r="L223" s="20"/>
    </row>
    <row r="224" spans="1:12" ht="21.95" customHeight="1">
      <c r="A224" s="53"/>
      <c r="B224" s="20"/>
      <c r="D224" s="20"/>
      <c r="E224" s="20"/>
      <c r="F224" s="20"/>
      <c r="G224" s="20"/>
      <c r="H224" s="284"/>
      <c r="I224" s="20"/>
      <c r="J224" s="57"/>
      <c r="K224" s="20"/>
      <c r="L224" s="20"/>
    </row>
    <row r="225" spans="1:12" ht="21.95" customHeight="1">
      <c r="A225" s="53"/>
      <c r="B225" s="20"/>
      <c r="D225" s="20"/>
      <c r="E225" s="20"/>
      <c r="F225" s="20"/>
      <c r="G225" s="20"/>
      <c r="H225" s="284"/>
      <c r="I225" s="20"/>
      <c r="J225" s="57"/>
      <c r="K225" s="20"/>
      <c r="L225" s="20"/>
    </row>
    <row r="226" spans="1:12" ht="21.95" customHeight="1">
      <c r="A226" s="53"/>
      <c r="B226" s="20"/>
      <c r="D226" s="20"/>
      <c r="E226" s="20"/>
      <c r="F226" s="20"/>
      <c r="G226" s="20"/>
      <c r="H226" s="284"/>
      <c r="I226" s="20"/>
      <c r="J226" s="57"/>
      <c r="K226" s="20"/>
      <c r="L226" s="20"/>
    </row>
    <row r="227" spans="1:12" ht="21.95" customHeight="1">
      <c r="A227" s="53"/>
      <c r="B227" s="20"/>
      <c r="D227" s="20"/>
      <c r="E227" s="20"/>
      <c r="F227" s="20"/>
      <c r="G227" s="20"/>
      <c r="H227" s="284"/>
      <c r="I227" s="20"/>
      <c r="J227" s="57"/>
      <c r="K227" s="20"/>
      <c r="L227" s="20"/>
    </row>
    <row r="228" spans="1:12" ht="21.95" customHeight="1">
      <c r="A228" s="53"/>
      <c r="B228" s="20"/>
      <c r="D228" s="20"/>
      <c r="E228" s="20"/>
      <c r="F228" s="20"/>
      <c r="G228" s="20"/>
      <c r="H228" s="284"/>
      <c r="I228" s="20"/>
      <c r="J228" s="57"/>
      <c r="K228" s="20"/>
      <c r="L228" s="20"/>
    </row>
    <row r="229" spans="1:12" ht="21.95" customHeight="1">
      <c r="A229" s="53"/>
      <c r="B229" s="20"/>
      <c r="D229" s="20"/>
      <c r="E229" s="20"/>
      <c r="F229" s="20"/>
      <c r="G229" s="20"/>
      <c r="H229" s="284"/>
      <c r="I229" s="20"/>
      <c r="J229" s="57"/>
      <c r="K229" s="20"/>
      <c r="L229" s="20"/>
    </row>
    <row r="230" spans="1:12" ht="21.95" customHeight="1">
      <c r="A230" s="53"/>
      <c r="B230" s="20"/>
      <c r="D230" s="20"/>
      <c r="E230" s="20"/>
      <c r="F230" s="20"/>
      <c r="G230" s="20"/>
      <c r="H230" s="284"/>
      <c r="I230" s="20"/>
      <c r="J230" s="57"/>
      <c r="K230" s="20"/>
      <c r="L230" s="20"/>
    </row>
    <row r="231" spans="1:12" ht="21.95" customHeight="1">
      <c r="A231" s="53"/>
      <c r="B231" s="20"/>
      <c r="D231" s="20"/>
      <c r="E231" s="20"/>
      <c r="F231" s="20"/>
      <c r="G231" s="20"/>
      <c r="H231" s="284"/>
      <c r="I231" s="20"/>
      <c r="J231" s="57"/>
      <c r="K231" s="20"/>
      <c r="L231" s="20"/>
    </row>
    <row r="232" spans="1:12" ht="21.95" customHeight="1">
      <c r="A232" s="53"/>
      <c r="B232" s="20"/>
      <c r="D232" s="20"/>
      <c r="E232" s="20"/>
      <c r="F232" s="20"/>
      <c r="G232" s="20"/>
      <c r="H232" s="284"/>
      <c r="I232" s="20"/>
      <c r="J232" s="57"/>
      <c r="K232" s="20"/>
      <c r="L232" s="20"/>
    </row>
    <row r="233" spans="1:12" ht="21.95" customHeight="1">
      <c r="A233" s="53"/>
      <c r="B233" s="20"/>
      <c r="D233" s="20"/>
      <c r="E233" s="20"/>
      <c r="F233" s="20"/>
      <c r="G233" s="20"/>
      <c r="H233" s="284"/>
      <c r="I233" s="20"/>
      <c r="J233" s="57"/>
      <c r="K233" s="20"/>
      <c r="L233" s="20"/>
    </row>
    <row r="234" spans="1:12" ht="21.95" customHeight="1">
      <c r="A234" s="53"/>
      <c r="B234" s="20"/>
      <c r="D234" s="20"/>
      <c r="E234" s="20"/>
      <c r="F234" s="20"/>
      <c r="G234" s="20"/>
      <c r="H234" s="284"/>
      <c r="I234" s="20"/>
      <c r="J234" s="57"/>
      <c r="K234" s="20"/>
      <c r="L234" s="20"/>
    </row>
    <row r="235" spans="1:12" ht="21.95" customHeight="1">
      <c r="A235" s="53"/>
      <c r="B235" s="20"/>
      <c r="D235" s="20"/>
      <c r="E235" s="20"/>
      <c r="F235" s="20"/>
      <c r="G235" s="20"/>
      <c r="H235" s="284"/>
      <c r="I235" s="20"/>
      <c r="J235" s="57"/>
      <c r="K235" s="20"/>
      <c r="L235" s="20"/>
    </row>
    <row r="236" spans="1:12" ht="21.95" customHeight="1">
      <c r="A236" s="53"/>
      <c r="B236" s="20"/>
      <c r="D236" s="20"/>
      <c r="E236" s="20"/>
      <c r="F236" s="20"/>
      <c r="G236" s="20"/>
      <c r="H236" s="284"/>
      <c r="I236" s="20"/>
      <c r="J236" s="57"/>
      <c r="K236" s="20"/>
      <c r="L236" s="20"/>
    </row>
    <row r="237" spans="1:12" ht="21.95" customHeight="1">
      <c r="A237" s="53"/>
      <c r="B237" s="20"/>
      <c r="D237" s="20"/>
      <c r="E237" s="20"/>
      <c r="F237" s="20"/>
      <c r="G237" s="20"/>
      <c r="H237" s="284"/>
      <c r="I237" s="20"/>
      <c r="J237" s="57"/>
      <c r="K237" s="20"/>
      <c r="L237" s="20"/>
    </row>
    <row r="238" spans="1:12" ht="21.95" customHeight="1">
      <c r="A238" s="53"/>
      <c r="B238" s="20"/>
      <c r="D238" s="20"/>
      <c r="E238" s="20"/>
      <c r="F238" s="20"/>
      <c r="G238" s="20"/>
      <c r="H238" s="284"/>
      <c r="I238" s="20"/>
      <c r="J238" s="57"/>
      <c r="K238" s="20"/>
      <c r="L238" s="20"/>
    </row>
    <row r="239" spans="1:12" ht="21.95" customHeight="1">
      <c r="A239" s="53"/>
      <c r="B239" s="20"/>
      <c r="D239" s="20"/>
      <c r="E239" s="20"/>
      <c r="F239" s="20"/>
      <c r="G239" s="20"/>
      <c r="H239" s="284"/>
      <c r="I239" s="20"/>
      <c r="J239" s="57"/>
      <c r="K239" s="20"/>
      <c r="L239" s="20"/>
    </row>
    <row r="240" spans="1:12" ht="21.95" customHeight="1">
      <c r="A240" s="53"/>
      <c r="B240" s="20"/>
      <c r="D240" s="20"/>
      <c r="E240" s="20"/>
      <c r="F240" s="20"/>
      <c r="G240" s="20"/>
      <c r="H240" s="284"/>
      <c r="I240" s="20"/>
      <c r="J240" s="57"/>
      <c r="K240" s="20"/>
      <c r="L240" s="20"/>
    </row>
    <row r="241" spans="1:14" ht="21.95" customHeight="1">
      <c r="A241" s="53"/>
      <c r="B241" s="20"/>
      <c r="D241" s="20"/>
      <c r="E241" s="20"/>
      <c r="F241" s="20"/>
      <c r="G241" s="20"/>
      <c r="H241" s="284"/>
      <c r="I241" s="20"/>
      <c r="J241" s="57"/>
      <c r="K241" s="20"/>
      <c r="L241" s="20"/>
    </row>
    <row r="242" spans="1:14" ht="21.95" customHeight="1">
      <c r="A242" s="53"/>
      <c r="B242" s="20"/>
      <c r="D242" s="20"/>
      <c r="E242" s="20"/>
      <c r="F242" s="20"/>
      <c r="G242" s="20"/>
      <c r="H242" s="284"/>
      <c r="I242" s="20"/>
      <c r="J242" s="57"/>
      <c r="K242" s="20"/>
      <c r="L242" s="20"/>
    </row>
    <row r="243" spans="1:14" ht="21.95" customHeight="1">
      <c r="A243" s="53"/>
      <c r="B243" s="20"/>
      <c r="D243" s="20"/>
      <c r="E243" s="20"/>
      <c r="F243" s="20"/>
      <c r="G243" s="20"/>
      <c r="H243" s="284"/>
      <c r="I243" s="20"/>
      <c r="J243" s="57"/>
      <c r="K243" s="20"/>
      <c r="L243" s="20"/>
    </row>
    <row r="244" spans="1:14" ht="21.95" customHeight="1">
      <c r="A244" s="53"/>
      <c r="B244" s="20"/>
      <c r="D244" s="20"/>
      <c r="E244" s="20"/>
      <c r="F244" s="20"/>
      <c r="G244" s="20"/>
      <c r="H244" s="284"/>
      <c r="I244" s="20"/>
      <c r="J244" s="57"/>
      <c r="K244" s="20"/>
      <c r="L244" s="20"/>
    </row>
    <row r="245" spans="1:14" ht="21.95" customHeight="1">
      <c r="A245" s="53"/>
      <c r="B245" s="20"/>
      <c r="D245" s="20"/>
      <c r="E245" s="20"/>
      <c r="F245" s="20"/>
      <c r="G245" s="20"/>
      <c r="H245" s="284"/>
      <c r="I245" s="20"/>
      <c r="J245" s="57"/>
      <c r="K245" s="20"/>
      <c r="L245" s="20"/>
    </row>
    <row r="246" spans="1:14" ht="21.95" customHeight="1">
      <c r="A246" s="53"/>
      <c r="B246" s="20"/>
      <c r="D246" s="20"/>
      <c r="E246" s="20"/>
      <c r="F246" s="20"/>
      <c r="G246" s="20"/>
      <c r="H246" s="284"/>
      <c r="I246" s="20"/>
      <c r="J246" s="57"/>
      <c r="K246" s="20"/>
      <c r="L246" s="20"/>
    </row>
    <row r="247" spans="1:14" ht="21.95" customHeight="1">
      <c r="A247" s="53"/>
      <c r="B247" s="20"/>
      <c r="D247" s="20"/>
      <c r="E247" s="20"/>
      <c r="F247" s="20"/>
      <c r="G247" s="20"/>
      <c r="H247" s="284"/>
      <c r="I247" s="20"/>
      <c r="J247" s="57"/>
      <c r="K247" s="20"/>
      <c r="L247" s="20"/>
    </row>
    <row r="248" spans="1:14" ht="21.95" customHeight="1">
      <c r="A248" s="53"/>
      <c r="B248" s="20"/>
      <c r="D248" s="20"/>
      <c r="E248" s="20"/>
      <c r="F248" s="20"/>
      <c r="G248" s="20"/>
      <c r="H248" s="284"/>
      <c r="I248" s="20"/>
      <c r="J248" s="57"/>
      <c r="K248" s="20"/>
      <c r="L248" s="20"/>
    </row>
    <row r="249" spans="1:14" ht="21.95" customHeight="1">
      <c r="A249" s="53"/>
      <c r="B249" s="20"/>
      <c r="D249" s="20"/>
      <c r="E249" s="20"/>
      <c r="F249" s="20"/>
      <c r="G249" s="20"/>
      <c r="H249" s="284"/>
      <c r="I249" s="20"/>
      <c r="J249" s="57"/>
      <c r="K249" s="20"/>
      <c r="L249" s="20"/>
    </row>
    <row r="250" spans="1:14" ht="21.95" customHeight="1">
      <c r="A250" s="53"/>
      <c r="B250" s="20"/>
      <c r="D250" s="20"/>
      <c r="E250" s="20"/>
      <c r="F250" s="20"/>
      <c r="G250" s="20"/>
      <c r="H250" s="284"/>
      <c r="I250" s="20"/>
      <c r="J250" s="57"/>
      <c r="K250" s="20"/>
      <c r="L250" s="20"/>
    </row>
    <row r="251" spans="1:14" ht="21.95" customHeight="1">
      <c r="A251" s="53"/>
      <c r="B251" s="20"/>
      <c r="D251" s="20"/>
      <c r="E251" s="20"/>
      <c r="F251" s="20"/>
      <c r="G251" s="20"/>
      <c r="H251" s="284"/>
      <c r="I251" s="20"/>
      <c r="J251" s="57"/>
      <c r="K251" s="20"/>
      <c r="L251" s="20"/>
    </row>
    <row r="252" spans="1:14" ht="21.95" customHeight="1">
      <c r="A252" s="53"/>
      <c r="B252" s="20"/>
      <c r="D252" s="20"/>
      <c r="E252" s="20"/>
      <c r="F252" s="20"/>
      <c r="G252" s="20"/>
      <c r="H252" s="284"/>
      <c r="I252" s="20"/>
      <c r="J252" s="57"/>
      <c r="K252" s="20"/>
      <c r="L252" s="20"/>
    </row>
    <row r="253" spans="1:14" ht="21.95" customHeight="1">
      <c r="A253" s="322"/>
      <c r="B253" s="55"/>
      <c r="C253" s="55"/>
      <c r="D253" s="55"/>
      <c r="E253" s="55"/>
      <c r="F253" s="55"/>
      <c r="G253" s="55"/>
      <c r="H253" s="270"/>
      <c r="I253" s="55"/>
      <c r="J253" s="58"/>
      <c r="K253" s="55"/>
      <c r="L253" s="55"/>
    </row>
    <row r="254" spans="1:14" ht="21.95" customHeight="1">
      <c r="A254" s="322"/>
      <c r="B254" s="55"/>
      <c r="C254" s="55"/>
      <c r="D254" s="55"/>
      <c r="E254" s="55"/>
      <c r="F254" s="55"/>
      <c r="G254" s="55"/>
      <c r="H254" s="270"/>
      <c r="I254" s="55"/>
      <c r="J254" s="58"/>
      <c r="K254" s="55"/>
      <c r="L254" s="55"/>
    </row>
    <row r="255" spans="1:14" s="3" customFormat="1" ht="21.95" customHeight="1">
      <c r="A255" s="322"/>
      <c r="B255" s="56" t="s">
        <v>102</v>
      </c>
      <c r="C255" s="56" t="s">
        <v>69</v>
      </c>
      <c r="D255" s="56"/>
      <c r="E255" s="56">
        <v>24</v>
      </c>
      <c r="F255" s="56"/>
      <c r="G255" s="56"/>
      <c r="H255" s="285"/>
      <c r="I255" s="56"/>
      <c r="J255" s="59"/>
      <c r="K255" s="56"/>
      <c r="L255" s="56"/>
      <c r="M255" s="71"/>
      <c r="N255" s="71"/>
    </row>
    <row r="256" spans="1:14" ht="21.95" customHeight="1">
      <c r="A256" s="53"/>
      <c r="B256" s="20"/>
      <c r="D256" s="20">
        <v>1</v>
      </c>
      <c r="E256" s="20"/>
      <c r="F256" s="20"/>
      <c r="G256" s="20"/>
      <c r="H256" s="284"/>
      <c r="I256" s="20"/>
      <c r="J256" s="57"/>
      <c r="K256" s="20"/>
      <c r="L256" s="20"/>
    </row>
    <row r="257" spans="1:12" ht="21.95" customHeight="1">
      <c r="A257" s="53"/>
      <c r="B257" s="20"/>
      <c r="D257" s="20"/>
      <c r="E257" s="20"/>
      <c r="F257" s="20"/>
      <c r="G257" s="20"/>
      <c r="H257" s="284"/>
      <c r="I257" s="20"/>
      <c r="J257" s="57"/>
      <c r="K257" s="20"/>
      <c r="L257" s="20"/>
    </row>
    <row r="258" spans="1:12" ht="21.95" customHeight="1">
      <c r="A258" s="53"/>
      <c r="B258" s="20" t="s">
        <v>103</v>
      </c>
      <c r="C258" s="20" t="s">
        <v>69</v>
      </c>
      <c r="D258" s="20"/>
      <c r="E258" s="20">
        <v>24</v>
      </c>
      <c r="F258" s="20"/>
      <c r="G258" s="20"/>
      <c r="H258" s="284"/>
      <c r="I258" s="20"/>
      <c r="J258" s="57"/>
      <c r="K258" s="20"/>
      <c r="L258" s="20"/>
    </row>
    <row r="259" spans="1:12" ht="21.95" customHeight="1">
      <c r="A259" s="53"/>
      <c r="B259" s="20"/>
      <c r="D259" s="20"/>
      <c r="E259" s="20"/>
      <c r="F259" s="20"/>
      <c r="G259" s="20"/>
      <c r="H259" s="284"/>
      <c r="I259" s="20"/>
      <c r="J259" s="57"/>
      <c r="K259" s="20"/>
      <c r="L259" s="20"/>
    </row>
    <row r="260" spans="1:12" ht="21.95" customHeight="1">
      <c r="A260" s="53"/>
      <c r="B260" s="20"/>
      <c r="D260" s="20"/>
      <c r="E260" s="20"/>
      <c r="F260" s="20"/>
      <c r="G260" s="20"/>
      <c r="H260" s="284"/>
      <c r="I260" s="20"/>
      <c r="J260" s="57"/>
      <c r="K260" s="20"/>
      <c r="L260" s="20"/>
    </row>
    <row r="261" spans="1:12" ht="21.95" customHeight="1">
      <c r="A261" s="322"/>
      <c r="B261" s="55"/>
      <c r="C261" s="55"/>
      <c r="D261" s="55"/>
      <c r="E261" s="55"/>
      <c r="F261" s="55"/>
      <c r="G261" s="55"/>
      <c r="H261" s="270"/>
      <c r="I261" s="55"/>
      <c r="J261" s="58"/>
      <c r="K261" s="55"/>
      <c r="L261" s="55"/>
    </row>
    <row r="262" spans="1:12" ht="21.95" customHeight="1">
      <c r="A262" s="322"/>
      <c r="B262" s="55"/>
      <c r="C262" s="55"/>
      <c r="D262" s="55"/>
      <c r="E262" s="55"/>
      <c r="F262" s="55"/>
      <c r="G262" s="55"/>
      <c r="H262" s="270"/>
      <c r="I262" s="55"/>
      <c r="J262" s="58"/>
      <c r="K262" s="55"/>
      <c r="L262" s="55"/>
    </row>
    <row r="263" spans="1:12" ht="21.95" customHeight="1">
      <c r="A263" s="53"/>
      <c r="B263" s="55"/>
      <c r="C263" s="55"/>
      <c r="D263" s="55"/>
      <c r="E263" s="55"/>
      <c r="F263" s="55"/>
      <c r="G263" s="55"/>
      <c r="H263" s="270"/>
      <c r="I263" s="55"/>
      <c r="J263" s="58"/>
      <c r="K263" s="55"/>
      <c r="L263" s="55"/>
    </row>
    <row r="264" spans="1:12" ht="21.95" customHeight="1">
      <c r="A264" s="53"/>
      <c r="B264" s="20"/>
      <c r="D264" s="20"/>
      <c r="E264" s="20"/>
      <c r="F264" s="20"/>
      <c r="G264" s="20"/>
      <c r="H264" s="284"/>
      <c r="I264" s="20"/>
      <c r="J264" s="57"/>
      <c r="K264" s="20"/>
      <c r="L264" s="20"/>
    </row>
    <row r="265" spans="1:12" ht="21.95" customHeight="1">
      <c r="A265" s="53"/>
      <c r="B265" s="20"/>
      <c r="D265" s="20"/>
      <c r="E265" s="20"/>
      <c r="F265" s="20"/>
      <c r="G265" s="20"/>
      <c r="H265" s="284"/>
      <c r="I265" s="20"/>
      <c r="J265" s="57"/>
      <c r="K265" s="20"/>
      <c r="L265" s="20"/>
    </row>
    <row r="266" spans="1:12" ht="21.95" customHeight="1">
      <c r="A266" s="53"/>
      <c r="B266" s="20"/>
      <c r="D266" s="20"/>
      <c r="E266" s="20"/>
      <c r="F266" s="20"/>
      <c r="G266" s="20"/>
      <c r="H266" s="284"/>
      <c r="I266" s="20"/>
      <c r="J266" s="57"/>
      <c r="K266" s="20"/>
      <c r="L266" s="20"/>
    </row>
    <row r="267" spans="1:12" ht="21.95" customHeight="1">
      <c r="A267" s="53"/>
      <c r="B267" s="20"/>
      <c r="D267" s="20"/>
      <c r="E267" s="20"/>
      <c r="F267" s="20"/>
      <c r="G267" s="20"/>
      <c r="H267" s="284"/>
      <c r="I267" s="20"/>
      <c r="J267" s="57"/>
      <c r="K267" s="20"/>
      <c r="L267" s="20"/>
    </row>
    <row r="268" spans="1:12" ht="21.95" customHeight="1">
      <c r="A268" s="53"/>
      <c r="B268" s="20"/>
      <c r="D268" s="20"/>
      <c r="E268" s="20"/>
      <c r="F268" s="20"/>
      <c r="G268" s="20"/>
      <c r="H268" s="284"/>
      <c r="I268" s="20"/>
      <c r="J268" s="57"/>
      <c r="K268" s="20"/>
      <c r="L268" s="20"/>
    </row>
    <row r="269" spans="1:12" ht="21.95" customHeight="1">
      <c r="A269" s="53"/>
      <c r="B269" s="20"/>
      <c r="D269" s="20"/>
      <c r="E269" s="20"/>
      <c r="F269" s="20"/>
      <c r="G269" s="20"/>
      <c r="H269" s="284"/>
      <c r="I269" s="20"/>
      <c r="J269" s="57"/>
      <c r="K269" s="20"/>
      <c r="L269" s="20"/>
    </row>
    <row r="270" spans="1:12" ht="21.95" customHeight="1">
      <c r="A270" s="53"/>
      <c r="B270" s="20"/>
      <c r="D270" s="20"/>
      <c r="E270" s="20"/>
      <c r="F270" s="20"/>
      <c r="G270" s="20"/>
      <c r="H270" s="284"/>
      <c r="I270" s="20"/>
      <c r="J270" s="57"/>
      <c r="K270" s="20"/>
      <c r="L270" s="20"/>
    </row>
    <row r="271" spans="1:12" ht="21.95" customHeight="1">
      <c r="A271" s="53"/>
      <c r="B271" s="20"/>
      <c r="D271" s="20"/>
      <c r="E271" s="20"/>
      <c r="F271" s="20"/>
      <c r="G271" s="20"/>
      <c r="H271" s="284"/>
      <c r="I271" s="20"/>
      <c r="J271" s="57"/>
      <c r="K271" s="20"/>
      <c r="L271" s="20"/>
    </row>
    <row r="272" spans="1:12" ht="21.95" customHeight="1">
      <c r="A272" s="53"/>
      <c r="B272" s="20"/>
      <c r="D272" s="20"/>
      <c r="E272" s="20"/>
      <c r="F272" s="20"/>
      <c r="G272" s="20"/>
      <c r="H272" s="284"/>
      <c r="I272" s="20"/>
      <c r="J272" s="57"/>
      <c r="K272" s="20"/>
      <c r="L272" s="20"/>
    </row>
    <row r="273" spans="1:12" ht="21.95" customHeight="1">
      <c r="A273" s="53"/>
      <c r="B273" s="20"/>
      <c r="D273" s="20"/>
      <c r="E273" s="20"/>
      <c r="F273" s="20"/>
      <c r="G273" s="20"/>
      <c r="H273" s="284"/>
      <c r="I273" s="20"/>
      <c r="J273" s="57"/>
      <c r="K273" s="20"/>
      <c r="L273" s="20"/>
    </row>
    <row r="274" spans="1:12" ht="21.95" customHeight="1">
      <c r="A274" s="53"/>
      <c r="B274" s="20"/>
      <c r="D274" s="20"/>
      <c r="E274" s="20"/>
      <c r="F274" s="20"/>
      <c r="G274" s="20"/>
      <c r="H274" s="284"/>
      <c r="I274" s="20"/>
      <c r="J274" s="57"/>
      <c r="K274" s="20"/>
      <c r="L274" s="20"/>
    </row>
    <row r="275" spans="1:12" ht="21.95" customHeight="1">
      <c r="A275" s="53"/>
      <c r="B275" s="20"/>
      <c r="D275" s="20"/>
      <c r="E275" s="20"/>
      <c r="F275" s="20"/>
      <c r="G275" s="20"/>
      <c r="H275" s="284"/>
      <c r="I275" s="20"/>
      <c r="J275" s="57"/>
      <c r="K275" s="20"/>
      <c r="L275" s="20"/>
    </row>
    <row r="276" spans="1:12" ht="21.95" customHeight="1">
      <c r="A276" s="53"/>
      <c r="B276" s="20"/>
      <c r="D276" s="20"/>
      <c r="E276" s="20"/>
      <c r="F276" s="20"/>
      <c r="G276" s="20"/>
      <c r="H276" s="284"/>
      <c r="I276" s="20"/>
      <c r="J276" s="57"/>
      <c r="K276" s="20"/>
      <c r="L276" s="20"/>
    </row>
    <row r="277" spans="1:12" ht="21.95" customHeight="1">
      <c r="A277" s="53"/>
      <c r="B277" s="20"/>
      <c r="D277" s="20"/>
      <c r="E277" s="20"/>
      <c r="F277" s="20"/>
      <c r="G277" s="20"/>
      <c r="H277" s="284"/>
      <c r="I277" s="20"/>
      <c r="J277" s="57"/>
      <c r="K277" s="20"/>
      <c r="L277" s="20"/>
    </row>
    <row r="278" spans="1:12" ht="21.95" customHeight="1">
      <c r="A278" s="53"/>
      <c r="B278" s="20"/>
      <c r="D278" s="20"/>
      <c r="E278" s="20"/>
      <c r="F278" s="20"/>
      <c r="G278" s="20"/>
      <c r="H278" s="284"/>
      <c r="I278" s="20"/>
      <c r="J278" s="57"/>
      <c r="K278" s="20"/>
      <c r="L278" s="20"/>
    </row>
    <row r="279" spans="1:12" ht="21.95" customHeight="1">
      <c r="A279" s="53"/>
      <c r="B279" s="20"/>
      <c r="D279" s="20"/>
      <c r="E279" s="20"/>
      <c r="F279" s="20"/>
      <c r="G279" s="20"/>
      <c r="H279" s="284"/>
      <c r="I279" s="20"/>
      <c r="J279" s="57"/>
      <c r="K279" s="20"/>
      <c r="L279" s="20"/>
    </row>
    <row r="280" spans="1:12" ht="21.95" customHeight="1">
      <c r="A280" s="53"/>
      <c r="B280" s="20"/>
      <c r="D280" s="20"/>
      <c r="E280" s="20"/>
      <c r="F280" s="20"/>
      <c r="G280" s="20"/>
      <c r="H280" s="284"/>
      <c r="I280" s="20"/>
      <c r="J280" s="57"/>
      <c r="K280" s="20"/>
      <c r="L280" s="20"/>
    </row>
    <row r="281" spans="1:12" ht="21.95" customHeight="1">
      <c r="A281" s="53"/>
      <c r="B281" s="20"/>
      <c r="D281" s="20"/>
      <c r="E281" s="20"/>
      <c r="F281" s="20"/>
      <c r="G281" s="20"/>
      <c r="H281" s="284"/>
      <c r="I281" s="20"/>
      <c r="J281" s="57"/>
      <c r="K281" s="20"/>
      <c r="L281" s="20"/>
    </row>
    <row r="282" spans="1:12" ht="21.95" customHeight="1">
      <c r="A282" s="53"/>
      <c r="B282" s="20"/>
      <c r="D282" s="20"/>
      <c r="E282" s="20"/>
      <c r="F282" s="20"/>
      <c r="G282" s="20"/>
      <c r="H282" s="284"/>
      <c r="I282" s="20"/>
      <c r="J282" s="57"/>
      <c r="K282" s="20"/>
      <c r="L282" s="20"/>
    </row>
    <row r="283" spans="1:12" ht="21.95" customHeight="1">
      <c r="A283" s="53"/>
      <c r="B283" s="20"/>
      <c r="D283" s="20"/>
      <c r="E283" s="20"/>
      <c r="F283" s="20"/>
      <c r="G283" s="20"/>
      <c r="H283" s="284"/>
      <c r="I283" s="20"/>
      <c r="J283" s="57"/>
      <c r="K283" s="20"/>
      <c r="L283" s="20"/>
    </row>
    <row r="284" spans="1:12" ht="21.95" customHeight="1">
      <c r="A284" s="53"/>
      <c r="B284" s="20"/>
      <c r="D284" s="20"/>
      <c r="E284" s="20"/>
      <c r="F284" s="20"/>
      <c r="G284" s="20"/>
      <c r="H284" s="284"/>
      <c r="I284" s="20"/>
      <c r="J284" s="57"/>
      <c r="K284" s="20"/>
      <c r="L284" s="20"/>
    </row>
    <row r="285" spans="1:12" ht="21.95" customHeight="1">
      <c r="A285" s="53"/>
      <c r="B285" s="20"/>
      <c r="D285" s="20"/>
      <c r="E285" s="20"/>
      <c r="F285" s="20"/>
      <c r="G285" s="20"/>
      <c r="H285" s="284"/>
      <c r="I285" s="20"/>
      <c r="J285" s="57"/>
      <c r="K285" s="20"/>
      <c r="L285" s="20"/>
    </row>
    <row r="286" spans="1:12" ht="21.95" customHeight="1">
      <c r="A286" s="53"/>
      <c r="B286" s="20"/>
      <c r="D286" s="20"/>
      <c r="E286" s="20"/>
      <c r="F286" s="20"/>
      <c r="G286" s="20"/>
      <c r="H286" s="284"/>
      <c r="I286" s="20"/>
      <c r="J286" s="57"/>
      <c r="K286" s="20"/>
      <c r="L286" s="20"/>
    </row>
    <row r="287" spans="1:12" ht="21.95" customHeight="1">
      <c r="A287" s="53"/>
      <c r="B287" s="20"/>
      <c r="D287" s="20"/>
      <c r="E287" s="20"/>
      <c r="F287" s="20"/>
      <c r="G287" s="20"/>
      <c r="H287" s="284"/>
      <c r="I287" s="20"/>
      <c r="J287" s="57"/>
      <c r="K287" s="20"/>
      <c r="L287" s="20"/>
    </row>
    <row r="288" spans="1:12" ht="21.95" customHeight="1">
      <c r="A288" s="53"/>
      <c r="B288" s="20"/>
      <c r="D288" s="20"/>
      <c r="E288" s="20"/>
      <c r="F288" s="20"/>
      <c r="G288" s="20"/>
      <c r="H288" s="284"/>
      <c r="I288" s="20"/>
      <c r="J288" s="57"/>
      <c r="K288" s="20"/>
      <c r="L288" s="20"/>
    </row>
    <row r="289" spans="1:12" ht="21.95" customHeight="1">
      <c r="A289" s="53"/>
      <c r="B289" s="20"/>
      <c r="D289" s="20"/>
      <c r="E289" s="20"/>
      <c r="F289" s="20"/>
      <c r="G289" s="20"/>
      <c r="H289" s="284"/>
      <c r="I289" s="20"/>
      <c r="J289" s="57"/>
      <c r="K289" s="20"/>
      <c r="L289" s="20"/>
    </row>
    <row r="290" spans="1:12" ht="21.95" customHeight="1">
      <c r="A290" s="53"/>
      <c r="B290" s="20"/>
      <c r="D290" s="20"/>
      <c r="E290" s="20"/>
      <c r="F290" s="20"/>
      <c r="G290" s="20"/>
      <c r="H290" s="284"/>
      <c r="I290" s="20"/>
      <c r="J290" s="57"/>
      <c r="K290" s="20"/>
      <c r="L290" s="20"/>
    </row>
    <row r="291" spans="1:12" ht="21.95" customHeight="1">
      <c r="A291" s="53"/>
      <c r="B291" s="20"/>
      <c r="D291" s="20"/>
      <c r="E291" s="20"/>
      <c r="F291" s="20"/>
      <c r="G291" s="20"/>
      <c r="H291" s="284"/>
      <c r="I291" s="20"/>
      <c r="J291" s="57"/>
      <c r="K291" s="20"/>
      <c r="L291" s="20"/>
    </row>
    <row r="292" spans="1:12" ht="21.95" customHeight="1">
      <c r="A292" s="53"/>
      <c r="B292" s="20"/>
      <c r="D292" s="20"/>
      <c r="E292" s="20"/>
      <c r="F292" s="20"/>
      <c r="G292" s="20"/>
      <c r="H292" s="284"/>
      <c r="I292" s="20"/>
      <c r="J292" s="57"/>
      <c r="K292" s="20"/>
      <c r="L292" s="20"/>
    </row>
    <row r="293" spans="1:12" ht="21.95" customHeight="1">
      <c r="A293" s="53"/>
      <c r="B293" s="20"/>
      <c r="D293" s="20"/>
      <c r="E293" s="20"/>
      <c r="F293" s="20"/>
      <c r="G293" s="20"/>
      <c r="H293" s="284"/>
      <c r="I293" s="20"/>
      <c r="J293" s="57"/>
      <c r="K293" s="20"/>
      <c r="L293" s="20"/>
    </row>
    <row r="294" spans="1:12" ht="21.95" customHeight="1">
      <c r="A294" s="53"/>
      <c r="B294" s="20"/>
      <c r="D294" s="20"/>
      <c r="E294" s="20"/>
      <c r="F294" s="20"/>
      <c r="G294" s="20"/>
      <c r="H294" s="284"/>
      <c r="I294" s="20"/>
      <c r="J294" s="57"/>
      <c r="K294" s="20"/>
      <c r="L294" s="20"/>
    </row>
    <row r="295" spans="1:12" ht="21.95" customHeight="1">
      <c r="A295" s="53"/>
      <c r="B295" s="20"/>
      <c r="D295" s="20"/>
      <c r="E295" s="20"/>
      <c r="F295" s="20"/>
      <c r="G295" s="20"/>
      <c r="H295" s="284"/>
      <c r="I295" s="20"/>
      <c r="J295" s="57"/>
      <c r="K295" s="20"/>
      <c r="L295" s="20"/>
    </row>
    <row r="296" spans="1:12" ht="21.95" customHeight="1">
      <c r="A296" s="53"/>
      <c r="B296" s="20"/>
      <c r="D296" s="20"/>
      <c r="E296" s="20"/>
      <c r="F296" s="20"/>
      <c r="G296" s="20"/>
      <c r="H296" s="284"/>
      <c r="I296" s="20"/>
      <c r="J296" s="57"/>
      <c r="K296" s="20"/>
      <c r="L296" s="20"/>
    </row>
    <row r="297" spans="1:12" ht="21.95" customHeight="1">
      <c r="A297" s="53"/>
      <c r="B297" s="20"/>
      <c r="D297" s="20"/>
      <c r="E297" s="20"/>
      <c r="F297" s="20"/>
      <c r="G297" s="20"/>
      <c r="H297" s="284"/>
      <c r="I297" s="20"/>
      <c r="J297" s="57"/>
      <c r="K297" s="20"/>
      <c r="L297" s="20"/>
    </row>
    <row r="298" spans="1:12" ht="21.95" customHeight="1">
      <c r="A298" s="53"/>
      <c r="B298" s="20"/>
      <c r="D298" s="20"/>
      <c r="E298" s="20"/>
      <c r="F298" s="20"/>
      <c r="G298" s="20"/>
      <c r="H298" s="284"/>
      <c r="I298" s="20"/>
      <c r="J298" s="57"/>
      <c r="K298" s="20"/>
      <c r="L298" s="20"/>
    </row>
    <row r="299" spans="1:12" ht="21.95" customHeight="1">
      <c r="A299" s="53"/>
      <c r="B299" s="20"/>
      <c r="D299" s="20"/>
      <c r="E299" s="20"/>
      <c r="F299" s="20"/>
      <c r="G299" s="20"/>
      <c r="H299" s="284"/>
      <c r="I299" s="20"/>
      <c r="J299" s="57"/>
      <c r="K299" s="20"/>
      <c r="L299" s="20"/>
    </row>
    <row r="300" spans="1:12" ht="21.95" customHeight="1">
      <c r="A300" s="53"/>
      <c r="B300" s="20"/>
      <c r="D300" s="20"/>
      <c r="E300" s="20"/>
      <c r="F300" s="20"/>
      <c r="G300" s="20"/>
      <c r="H300" s="284"/>
      <c r="I300" s="20"/>
      <c r="J300" s="57"/>
      <c r="K300" s="20"/>
      <c r="L300" s="20"/>
    </row>
    <row r="301" spans="1:12" ht="21.95" customHeight="1">
      <c r="A301" s="53"/>
      <c r="B301" s="20"/>
      <c r="D301" s="20"/>
      <c r="E301" s="20"/>
      <c r="F301" s="20"/>
      <c r="G301" s="20"/>
      <c r="H301" s="284"/>
      <c r="I301" s="20"/>
      <c r="J301" s="57"/>
      <c r="K301" s="20"/>
      <c r="L301" s="20"/>
    </row>
    <row r="302" spans="1:12" ht="21.95" customHeight="1">
      <c r="A302" s="53"/>
      <c r="B302" s="20"/>
      <c r="D302" s="20"/>
      <c r="E302" s="20"/>
      <c r="F302" s="20"/>
      <c r="G302" s="20"/>
      <c r="H302" s="284"/>
      <c r="I302" s="20"/>
      <c r="J302" s="57"/>
      <c r="K302" s="20"/>
      <c r="L302" s="20"/>
    </row>
    <row r="303" spans="1:12" ht="21.95" customHeight="1">
      <c r="A303" s="53"/>
      <c r="B303" s="20"/>
      <c r="D303" s="20"/>
      <c r="E303" s="20"/>
      <c r="F303" s="20"/>
      <c r="G303" s="20"/>
      <c r="H303" s="284"/>
      <c r="I303" s="20"/>
      <c r="J303" s="57"/>
      <c r="K303" s="20"/>
      <c r="L303" s="20"/>
    </row>
    <row r="304" spans="1:12" ht="21.95" customHeight="1">
      <c r="A304" s="53"/>
      <c r="B304" s="20"/>
      <c r="D304" s="20"/>
      <c r="E304" s="20"/>
      <c r="F304" s="20"/>
      <c r="G304" s="20"/>
      <c r="H304" s="284"/>
      <c r="I304" s="20"/>
      <c r="J304" s="57"/>
      <c r="K304" s="20"/>
      <c r="L304" s="20"/>
    </row>
    <row r="305" spans="1:12" ht="21.95" customHeight="1">
      <c r="A305" s="53"/>
      <c r="B305" s="20"/>
      <c r="D305" s="20"/>
      <c r="E305" s="20"/>
      <c r="F305" s="20"/>
      <c r="G305" s="20"/>
      <c r="H305" s="284"/>
      <c r="I305" s="20"/>
      <c r="J305" s="57"/>
      <c r="K305" s="20"/>
      <c r="L305" s="20"/>
    </row>
    <row r="306" spans="1:12" ht="21.95" customHeight="1">
      <c r="A306" s="53"/>
      <c r="B306" s="20"/>
      <c r="D306" s="20"/>
      <c r="E306" s="20"/>
      <c r="F306" s="20"/>
      <c r="G306" s="20"/>
      <c r="H306" s="284"/>
      <c r="I306" s="20"/>
      <c r="J306" s="57"/>
      <c r="K306" s="20"/>
      <c r="L306" s="20"/>
    </row>
    <row r="307" spans="1:12" ht="21.95" customHeight="1">
      <c r="A307" s="53"/>
      <c r="B307" s="20"/>
      <c r="D307" s="20"/>
      <c r="E307" s="20"/>
      <c r="F307" s="20"/>
      <c r="G307" s="20"/>
      <c r="H307" s="284"/>
      <c r="I307" s="20"/>
      <c r="J307" s="57"/>
      <c r="K307" s="20"/>
      <c r="L307" s="20"/>
    </row>
    <row r="308" spans="1:12" ht="21.95" customHeight="1">
      <c r="A308" s="53"/>
      <c r="B308" s="20"/>
      <c r="D308" s="20"/>
      <c r="E308" s="20"/>
      <c r="F308" s="20"/>
      <c r="G308" s="20"/>
      <c r="H308" s="284"/>
      <c r="I308" s="20"/>
      <c r="J308" s="57"/>
      <c r="K308" s="20"/>
      <c r="L308" s="20"/>
    </row>
    <row r="309" spans="1:12" ht="21.95" customHeight="1">
      <c r="A309" s="53"/>
      <c r="B309" s="20"/>
      <c r="D309" s="20"/>
      <c r="E309" s="20"/>
      <c r="F309" s="20"/>
      <c r="G309" s="20"/>
      <c r="H309" s="284"/>
      <c r="I309" s="20"/>
      <c r="J309" s="57"/>
      <c r="K309" s="20"/>
      <c r="L309" s="20"/>
    </row>
    <row r="310" spans="1:12" ht="21.95" customHeight="1">
      <c r="A310" s="53"/>
      <c r="B310" s="20"/>
      <c r="D310" s="20"/>
      <c r="E310" s="20"/>
      <c r="F310" s="20"/>
      <c r="G310" s="20"/>
      <c r="H310" s="284"/>
      <c r="I310" s="20"/>
      <c r="J310" s="57"/>
      <c r="K310" s="20"/>
      <c r="L310" s="20"/>
    </row>
    <row r="311" spans="1:12" ht="21.95" customHeight="1">
      <c r="A311" s="53"/>
      <c r="B311" s="20"/>
      <c r="D311" s="20"/>
      <c r="E311" s="20"/>
      <c r="F311" s="20"/>
      <c r="G311" s="20"/>
      <c r="H311" s="284"/>
      <c r="I311" s="20"/>
      <c r="J311" s="57"/>
      <c r="K311" s="20"/>
      <c r="L311" s="20"/>
    </row>
    <row r="312" spans="1:12" ht="21.95" customHeight="1">
      <c r="A312" s="53"/>
      <c r="B312" s="20"/>
      <c r="D312" s="20"/>
      <c r="E312" s="20"/>
      <c r="F312" s="20"/>
      <c r="G312" s="20"/>
      <c r="H312" s="284"/>
      <c r="I312" s="20"/>
      <c r="J312" s="57"/>
      <c r="K312" s="20"/>
      <c r="L312" s="20"/>
    </row>
    <row r="313" spans="1:12" ht="21.95" customHeight="1">
      <c r="A313" s="53"/>
      <c r="B313" s="20"/>
      <c r="D313" s="20"/>
      <c r="E313" s="20"/>
      <c r="F313" s="20"/>
      <c r="G313" s="20"/>
      <c r="H313" s="284"/>
      <c r="I313" s="20"/>
      <c r="J313" s="57"/>
      <c r="K313" s="20"/>
      <c r="L313" s="20"/>
    </row>
    <row r="314" spans="1:12" ht="21.95" customHeight="1">
      <c r="A314" s="53"/>
      <c r="B314" s="20"/>
      <c r="D314" s="20"/>
      <c r="E314" s="20"/>
      <c r="F314" s="20"/>
      <c r="G314" s="20"/>
      <c r="H314" s="284"/>
      <c r="I314" s="20"/>
      <c r="J314" s="57"/>
      <c r="K314" s="20"/>
      <c r="L314" s="20"/>
    </row>
    <row r="315" spans="1:12" ht="21.95" customHeight="1">
      <c r="A315" s="53"/>
      <c r="B315" s="20"/>
      <c r="D315" s="20"/>
      <c r="E315" s="20"/>
      <c r="F315" s="20"/>
      <c r="G315" s="20"/>
      <c r="H315" s="284"/>
      <c r="I315" s="20"/>
      <c r="J315" s="57"/>
      <c r="K315" s="20"/>
      <c r="L315" s="20"/>
    </row>
    <row r="316" spans="1:12" ht="21.95" customHeight="1">
      <c r="A316" s="53"/>
      <c r="B316" s="20"/>
      <c r="D316" s="20"/>
      <c r="E316" s="20"/>
      <c r="F316" s="20"/>
      <c r="G316" s="20"/>
      <c r="H316" s="284"/>
      <c r="I316" s="20"/>
      <c r="J316" s="57"/>
      <c r="K316" s="20"/>
      <c r="L316" s="20"/>
    </row>
    <row r="317" spans="1:12" ht="21.95" customHeight="1">
      <c r="A317" s="53"/>
      <c r="B317" s="20"/>
      <c r="D317" s="20"/>
      <c r="E317" s="20"/>
      <c r="F317" s="20"/>
      <c r="G317" s="20"/>
      <c r="H317" s="284"/>
      <c r="I317" s="20"/>
      <c r="J317" s="57"/>
      <c r="K317" s="20"/>
      <c r="L317" s="20"/>
    </row>
    <row r="318" spans="1:12" ht="21.95" customHeight="1">
      <c r="A318" s="53"/>
      <c r="B318" s="20"/>
      <c r="D318" s="20"/>
      <c r="E318" s="20"/>
      <c r="F318" s="20"/>
      <c r="G318" s="20"/>
      <c r="H318" s="284"/>
      <c r="I318" s="20"/>
      <c r="J318" s="57"/>
      <c r="K318" s="20"/>
      <c r="L318" s="20"/>
    </row>
    <row r="319" spans="1:12" ht="21.95" customHeight="1">
      <c r="A319" s="53"/>
      <c r="B319" s="20"/>
      <c r="D319" s="20"/>
      <c r="E319" s="20"/>
      <c r="F319" s="20"/>
      <c r="G319" s="20"/>
      <c r="H319" s="284"/>
      <c r="I319" s="20"/>
      <c r="J319" s="57"/>
      <c r="K319" s="20"/>
      <c r="L319" s="20"/>
    </row>
    <row r="320" spans="1:12" ht="21.95" customHeight="1">
      <c r="A320" s="53"/>
      <c r="B320" s="20"/>
      <c r="D320" s="20"/>
      <c r="E320" s="20"/>
      <c r="F320" s="20"/>
      <c r="G320" s="20"/>
      <c r="H320" s="284"/>
      <c r="I320" s="20"/>
      <c r="J320" s="57"/>
      <c r="K320" s="20"/>
      <c r="L320" s="20"/>
    </row>
    <row r="321" spans="1:12" ht="21.95" customHeight="1">
      <c r="A321" s="53"/>
      <c r="B321" s="20"/>
      <c r="D321" s="20"/>
      <c r="E321" s="20"/>
      <c r="F321" s="20"/>
      <c r="G321" s="20"/>
      <c r="H321" s="284"/>
      <c r="I321" s="20"/>
      <c r="J321" s="57"/>
      <c r="K321" s="20"/>
      <c r="L321" s="20"/>
    </row>
    <row r="322" spans="1:12" ht="21.95" customHeight="1">
      <c r="A322" s="53"/>
      <c r="B322" s="20"/>
      <c r="D322" s="20"/>
      <c r="E322" s="20"/>
      <c r="F322" s="20"/>
      <c r="G322" s="20"/>
      <c r="H322" s="284"/>
      <c r="I322" s="20"/>
      <c r="J322" s="57"/>
      <c r="K322" s="20"/>
      <c r="L322" s="20"/>
    </row>
    <row r="323" spans="1:12" ht="21.95" customHeight="1">
      <c r="A323" s="53"/>
      <c r="B323" s="20"/>
      <c r="D323" s="20"/>
      <c r="E323" s="20"/>
      <c r="F323" s="20"/>
      <c r="G323" s="20"/>
      <c r="H323" s="284"/>
      <c r="I323" s="20"/>
      <c r="J323" s="57"/>
      <c r="K323" s="20"/>
      <c r="L323" s="20"/>
    </row>
    <row r="324" spans="1:12" ht="21.95" customHeight="1">
      <c r="A324" s="53"/>
      <c r="B324" s="20"/>
      <c r="D324" s="20"/>
      <c r="E324" s="20"/>
      <c r="F324" s="20"/>
      <c r="G324" s="20"/>
      <c r="H324" s="284"/>
      <c r="I324" s="20"/>
      <c r="J324" s="57"/>
      <c r="K324" s="20"/>
      <c r="L324" s="20"/>
    </row>
    <row r="325" spans="1:12" ht="21.95" customHeight="1">
      <c r="A325" s="53"/>
      <c r="B325" s="20"/>
      <c r="D325" s="20"/>
      <c r="E325" s="20"/>
      <c r="F325" s="20"/>
      <c r="G325" s="20"/>
      <c r="H325" s="284"/>
      <c r="I325" s="20"/>
      <c r="J325" s="57"/>
      <c r="K325" s="20"/>
      <c r="L325" s="20"/>
    </row>
    <row r="326" spans="1:12" ht="21.95" customHeight="1">
      <c r="A326" s="53"/>
      <c r="B326" s="20"/>
      <c r="D326" s="20"/>
      <c r="E326" s="20"/>
      <c r="F326" s="20"/>
      <c r="G326" s="20"/>
      <c r="H326" s="284"/>
      <c r="I326" s="20"/>
      <c r="J326" s="57"/>
      <c r="K326" s="20"/>
      <c r="L326" s="20"/>
    </row>
    <row r="327" spans="1:12" ht="21.95" customHeight="1">
      <c r="A327" s="53"/>
      <c r="B327" s="20"/>
      <c r="D327" s="20"/>
      <c r="E327" s="20"/>
      <c r="F327" s="20"/>
      <c r="G327" s="20"/>
      <c r="H327" s="284"/>
      <c r="I327" s="20"/>
      <c r="J327" s="57"/>
      <c r="K327" s="20"/>
      <c r="L327" s="20"/>
    </row>
    <row r="328" spans="1:12" ht="21.95" customHeight="1">
      <c r="A328" s="53"/>
      <c r="B328" s="20"/>
      <c r="D328" s="20"/>
      <c r="E328" s="20"/>
      <c r="F328" s="20"/>
      <c r="G328" s="20"/>
      <c r="H328" s="284"/>
      <c r="I328" s="20"/>
      <c r="J328" s="57"/>
      <c r="K328" s="20"/>
      <c r="L328" s="20"/>
    </row>
    <row r="329" spans="1:12" ht="21.95" customHeight="1">
      <c r="A329" s="53"/>
      <c r="B329" s="20"/>
      <c r="D329" s="20"/>
      <c r="E329" s="20"/>
      <c r="F329" s="20"/>
      <c r="G329" s="20"/>
      <c r="H329" s="284"/>
      <c r="I329" s="20"/>
      <c r="J329" s="57"/>
      <c r="K329" s="20"/>
      <c r="L329" s="20"/>
    </row>
    <row r="330" spans="1:12" ht="21.95" customHeight="1">
      <c r="A330" s="53"/>
      <c r="B330" s="20"/>
      <c r="D330" s="20"/>
      <c r="E330" s="20"/>
      <c r="F330" s="20"/>
      <c r="G330" s="20"/>
      <c r="H330" s="284"/>
      <c r="I330" s="20"/>
      <c r="J330" s="57"/>
      <c r="K330" s="20"/>
      <c r="L330" s="20"/>
    </row>
    <row r="331" spans="1:12" ht="21.95" customHeight="1">
      <c r="A331" s="53"/>
      <c r="B331" s="20"/>
      <c r="D331" s="20"/>
      <c r="E331" s="20"/>
      <c r="F331" s="20"/>
      <c r="G331" s="20"/>
      <c r="H331" s="284"/>
      <c r="I331" s="20"/>
      <c r="J331" s="57"/>
      <c r="K331" s="20"/>
      <c r="L331" s="20"/>
    </row>
    <row r="332" spans="1:12" ht="21.95" customHeight="1">
      <c r="A332" s="53"/>
      <c r="B332" s="20"/>
      <c r="D332" s="20"/>
      <c r="E332" s="20"/>
      <c r="F332" s="20"/>
      <c r="G332" s="20"/>
      <c r="H332" s="284"/>
      <c r="I332" s="20"/>
      <c r="J332" s="57"/>
      <c r="K332" s="20"/>
      <c r="L332" s="20"/>
    </row>
    <row r="333" spans="1:12" ht="21.95" customHeight="1">
      <c r="A333" s="53"/>
      <c r="B333" s="20"/>
      <c r="D333" s="20"/>
      <c r="E333" s="20"/>
      <c r="F333" s="20"/>
      <c r="G333" s="20"/>
      <c r="H333" s="284"/>
      <c r="I333" s="20"/>
      <c r="J333" s="57"/>
      <c r="K333" s="20"/>
      <c r="L333" s="20"/>
    </row>
    <row r="334" spans="1:12" ht="21.95" customHeight="1">
      <c r="A334" s="53"/>
      <c r="B334" s="20"/>
      <c r="D334" s="20"/>
      <c r="E334" s="20"/>
      <c r="F334" s="20"/>
      <c r="G334" s="20"/>
      <c r="H334" s="284"/>
      <c r="I334" s="20"/>
      <c r="J334" s="57"/>
      <c r="K334" s="20"/>
      <c r="L334" s="20"/>
    </row>
    <row r="335" spans="1:12" ht="21.95" customHeight="1">
      <c r="A335" s="53"/>
      <c r="B335" s="20"/>
      <c r="D335" s="20"/>
      <c r="E335" s="20"/>
      <c r="F335" s="20"/>
      <c r="G335" s="20"/>
      <c r="H335" s="284"/>
      <c r="I335" s="20"/>
      <c r="J335" s="57"/>
      <c r="K335" s="20"/>
      <c r="L335" s="20"/>
    </row>
    <row r="336" spans="1:12" ht="21.95" customHeight="1">
      <c r="A336" s="53"/>
      <c r="B336" s="20"/>
      <c r="D336" s="20"/>
      <c r="E336" s="20"/>
      <c r="F336" s="20"/>
      <c r="G336" s="20"/>
      <c r="H336" s="284"/>
      <c r="I336" s="20"/>
      <c r="J336" s="57"/>
      <c r="K336" s="20"/>
      <c r="L336" s="20"/>
    </row>
    <row r="337" spans="1:12" ht="21.95" customHeight="1">
      <c r="A337" s="53"/>
      <c r="B337" s="20"/>
      <c r="D337" s="20"/>
      <c r="E337" s="20"/>
      <c r="F337" s="20"/>
      <c r="G337" s="20"/>
      <c r="H337" s="284"/>
      <c r="I337" s="20"/>
      <c r="J337" s="57"/>
      <c r="K337" s="20"/>
      <c r="L337" s="20"/>
    </row>
    <row r="338" spans="1:12" ht="21.95" customHeight="1">
      <c r="A338" s="53"/>
      <c r="B338" s="20"/>
      <c r="D338" s="20"/>
      <c r="E338" s="20"/>
      <c r="F338" s="20"/>
      <c r="G338" s="20"/>
      <c r="H338" s="284"/>
      <c r="I338" s="20"/>
      <c r="J338" s="57"/>
      <c r="K338" s="20"/>
      <c r="L338" s="20"/>
    </row>
    <row r="339" spans="1:12" ht="21.95" customHeight="1">
      <c r="A339" s="53"/>
      <c r="B339" s="20"/>
      <c r="D339" s="20"/>
      <c r="E339" s="20"/>
      <c r="F339" s="20"/>
      <c r="G339" s="20"/>
      <c r="H339" s="284"/>
      <c r="I339" s="20"/>
      <c r="J339" s="57"/>
      <c r="K339" s="20"/>
      <c r="L339" s="20"/>
    </row>
    <row r="340" spans="1:12" ht="21.95" customHeight="1">
      <c r="A340" s="53"/>
      <c r="B340" s="20"/>
      <c r="D340" s="20"/>
      <c r="E340" s="20"/>
      <c r="F340" s="20"/>
      <c r="G340" s="20"/>
      <c r="H340" s="284"/>
      <c r="I340" s="20"/>
      <c r="J340" s="57"/>
      <c r="K340" s="20"/>
      <c r="L340" s="20"/>
    </row>
    <row r="341" spans="1:12" ht="21.95" customHeight="1">
      <c r="A341" s="53"/>
      <c r="B341" s="20"/>
      <c r="D341" s="20"/>
      <c r="E341" s="20"/>
      <c r="F341" s="20"/>
      <c r="G341" s="20"/>
      <c r="H341" s="284"/>
      <c r="I341" s="20"/>
      <c r="J341" s="57"/>
      <c r="K341" s="20"/>
      <c r="L341" s="20"/>
    </row>
    <row r="342" spans="1:12" ht="21.95" customHeight="1">
      <c r="A342" s="53"/>
      <c r="B342" s="20"/>
      <c r="D342" s="20"/>
      <c r="E342" s="20"/>
      <c r="F342" s="20"/>
      <c r="G342" s="20"/>
      <c r="H342" s="284"/>
      <c r="I342" s="20"/>
      <c r="J342" s="57"/>
      <c r="K342" s="20"/>
      <c r="L342" s="20"/>
    </row>
    <row r="343" spans="1:12" ht="21.95" customHeight="1">
      <c r="A343" s="53"/>
      <c r="B343" s="20"/>
      <c r="D343" s="20"/>
      <c r="E343" s="20"/>
      <c r="F343" s="20"/>
      <c r="G343" s="20"/>
      <c r="H343" s="284"/>
      <c r="I343" s="20"/>
      <c r="J343" s="57"/>
      <c r="K343" s="20"/>
      <c r="L343" s="20"/>
    </row>
    <row r="344" spans="1:12" ht="21.95" customHeight="1">
      <c r="A344" s="53"/>
      <c r="B344" s="20"/>
      <c r="D344" s="20"/>
      <c r="E344" s="20"/>
      <c r="F344" s="20"/>
      <c r="G344" s="20"/>
      <c r="H344" s="284"/>
      <c r="I344" s="20"/>
      <c r="J344" s="57"/>
      <c r="K344" s="20"/>
      <c r="L344" s="20"/>
    </row>
    <row r="345" spans="1:12" ht="21.95" customHeight="1">
      <c r="A345" s="53"/>
      <c r="B345" s="20"/>
      <c r="D345" s="20"/>
      <c r="E345" s="20"/>
      <c r="F345" s="20"/>
      <c r="G345" s="20"/>
      <c r="H345" s="284"/>
      <c r="I345" s="20"/>
      <c r="J345" s="57"/>
      <c r="K345" s="20"/>
      <c r="L345" s="20"/>
    </row>
    <row r="346" spans="1:12" ht="21.95" customHeight="1">
      <c r="A346" s="53"/>
      <c r="B346" s="20"/>
      <c r="D346" s="20"/>
      <c r="E346" s="20"/>
      <c r="F346" s="20"/>
      <c r="G346" s="20"/>
      <c r="H346" s="284"/>
      <c r="I346" s="20"/>
      <c r="J346" s="57"/>
      <c r="K346" s="20"/>
      <c r="L346" s="20"/>
    </row>
    <row r="347" spans="1:12" ht="21.95" customHeight="1">
      <c r="A347" s="53"/>
      <c r="B347" s="20"/>
      <c r="D347" s="20"/>
      <c r="E347" s="20"/>
      <c r="F347" s="20"/>
      <c r="G347" s="20"/>
      <c r="H347" s="284"/>
      <c r="I347" s="20"/>
      <c r="J347" s="57"/>
      <c r="K347" s="20"/>
      <c r="L347" s="20"/>
    </row>
    <row r="348" spans="1:12" ht="21.95" customHeight="1">
      <c r="A348" s="53"/>
      <c r="B348" s="20"/>
      <c r="D348" s="20"/>
      <c r="E348" s="20"/>
      <c r="F348" s="20"/>
      <c r="G348" s="20"/>
      <c r="H348" s="284"/>
      <c r="I348" s="20"/>
      <c r="J348" s="57"/>
      <c r="K348" s="20"/>
      <c r="L348" s="20"/>
    </row>
    <row r="349" spans="1:12" ht="21.95" customHeight="1">
      <c r="A349" s="53"/>
      <c r="B349" s="20"/>
      <c r="D349" s="20"/>
      <c r="E349" s="20"/>
      <c r="F349" s="20"/>
      <c r="G349" s="20"/>
      <c r="H349" s="284"/>
      <c r="I349" s="20"/>
      <c r="J349" s="57"/>
      <c r="K349" s="20"/>
      <c r="L349" s="20"/>
    </row>
    <row r="350" spans="1:12" ht="21.95" customHeight="1">
      <c r="A350" s="53"/>
      <c r="B350" s="20"/>
      <c r="D350" s="20"/>
      <c r="E350" s="20"/>
      <c r="F350" s="20"/>
      <c r="G350" s="20"/>
      <c r="H350" s="284"/>
      <c r="I350" s="20"/>
      <c r="J350" s="57"/>
      <c r="K350" s="20"/>
      <c r="L350" s="20"/>
    </row>
    <row r="351" spans="1:12" ht="21.95" customHeight="1">
      <c r="A351" s="53"/>
      <c r="B351" s="20"/>
      <c r="D351" s="20"/>
      <c r="E351" s="20"/>
      <c r="F351" s="20"/>
      <c r="G351" s="20"/>
      <c r="H351" s="284"/>
      <c r="I351" s="20"/>
      <c r="J351" s="57"/>
      <c r="K351" s="20"/>
      <c r="L351" s="20"/>
    </row>
    <row r="352" spans="1:12" ht="21.95" customHeight="1">
      <c r="A352" s="53"/>
      <c r="B352" s="20"/>
      <c r="D352" s="20"/>
      <c r="E352" s="20"/>
      <c r="F352" s="20"/>
      <c r="G352" s="20"/>
      <c r="H352" s="284"/>
      <c r="I352" s="20"/>
      <c r="J352" s="57"/>
      <c r="K352" s="20"/>
      <c r="L352" s="20"/>
    </row>
    <row r="353" spans="1:12" ht="21.95" customHeight="1">
      <c r="A353" s="53"/>
      <c r="B353" s="20"/>
      <c r="D353" s="20"/>
      <c r="E353" s="20"/>
      <c r="F353" s="20"/>
      <c r="G353" s="20"/>
      <c r="H353" s="284"/>
      <c r="I353" s="20"/>
      <c r="J353" s="57"/>
      <c r="K353" s="20"/>
      <c r="L353" s="20"/>
    </row>
    <row r="354" spans="1:12" ht="21.95" customHeight="1">
      <c r="A354" s="53"/>
      <c r="B354" s="20"/>
      <c r="D354" s="20"/>
      <c r="E354" s="20"/>
      <c r="F354" s="20"/>
      <c r="G354" s="20"/>
      <c r="H354" s="284"/>
      <c r="I354" s="20"/>
      <c r="J354" s="57"/>
      <c r="K354" s="20"/>
      <c r="L354" s="20"/>
    </row>
    <row r="355" spans="1:12" ht="21.95" customHeight="1">
      <c r="A355" s="53"/>
      <c r="B355" s="20"/>
      <c r="D355" s="20"/>
      <c r="E355" s="20"/>
      <c r="F355" s="20"/>
      <c r="G355" s="20"/>
      <c r="H355" s="284"/>
      <c r="I355" s="20"/>
      <c r="J355" s="57"/>
      <c r="K355" s="20"/>
      <c r="L355" s="20"/>
    </row>
    <row r="356" spans="1:12" ht="21.95" customHeight="1">
      <c r="A356" s="53"/>
      <c r="B356" s="20"/>
      <c r="D356" s="20"/>
      <c r="E356" s="20"/>
      <c r="F356" s="20"/>
      <c r="G356" s="20"/>
      <c r="H356" s="284"/>
      <c r="I356" s="20"/>
      <c r="J356" s="57"/>
      <c r="K356" s="20"/>
      <c r="L356" s="20"/>
    </row>
    <row r="357" spans="1:12" ht="21.95" customHeight="1">
      <c r="A357" s="53"/>
      <c r="B357" s="20"/>
      <c r="D357" s="20"/>
      <c r="E357" s="20"/>
      <c r="F357" s="20"/>
      <c r="G357" s="20"/>
      <c r="H357" s="284"/>
      <c r="I357" s="20"/>
      <c r="J357" s="57"/>
      <c r="K357" s="20"/>
      <c r="L357" s="20"/>
    </row>
    <row r="358" spans="1:12" ht="21.95" customHeight="1">
      <c r="A358" s="53"/>
      <c r="B358" s="20"/>
      <c r="D358" s="20"/>
      <c r="E358" s="20"/>
      <c r="F358" s="20"/>
      <c r="G358" s="20"/>
      <c r="H358" s="284"/>
      <c r="I358" s="20"/>
      <c r="J358" s="57"/>
      <c r="K358" s="20"/>
      <c r="L358" s="20"/>
    </row>
    <row r="359" spans="1:12" ht="21.95" customHeight="1">
      <c r="A359" s="53"/>
      <c r="B359" s="20"/>
      <c r="D359" s="20"/>
      <c r="E359" s="20"/>
      <c r="F359" s="20"/>
      <c r="G359" s="20"/>
      <c r="H359" s="284"/>
      <c r="I359" s="20"/>
      <c r="J359" s="57"/>
      <c r="K359" s="20"/>
      <c r="L359" s="20"/>
    </row>
    <row r="360" spans="1:12" ht="21.95" customHeight="1">
      <c r="A360" s="53"/>
      <c r="B360" s="20"/>
      <c r="D360" s="20"/>
      <c r="E360" s="20"/>
      <c r="F360" s="20"/>
      <c r="G360" s="20"/>
      <c r="H360" s="284"/>
      <c r="I360" s="20"/>
      <c r="J360" s="57"/>
      <c r="K360" s="20"/>
      <c r="L360" s="20"/>
    </row>
    <row r="361" spans="1:12" ht="21.95" customHeight="1">
      <c r="A361" s="53"/>
      <c r="B361" s="20"/>
      <c r="D361" s="20"/>
      <c r="E361" s="20"/>
      <c r="F361" s="20"/>
      <c r="G361" s="20"/>
      <c r="H361" s="284"/>
      <c r="I361" s="20"/>
      <c r="J361" s="57"/>
      <c r="K361" s="20"/>
      <c r="L361" s="20"/>
    </row>
    <row r="362" spans="1:12" ht="21.95" customHeight="1">
      <c r="A362" s="53"/>
      <c r="B362" s="20"/>
      <c r="D362" s="20"/>
      <c r="E362" s="20"/>
      <c r="F362" s="20"/>
      <c r="G362" s="20"/>
      <c r="H362" s="284"/>
      <c r="I362" s="20"/>
      <c r="J362" s="57"/>
      <c r="K362" s="20"/>
      <c r="L362" s="20"/>
    </row>
    <row r="363" spans="1:12" ht="21.95" customHeight="1">
      <c r="A363" s="53"/>
      <c r="B363" s="20"/>
      <c r="D363" s="20"/>
      <c r="E363" s="20"/>
      <c r="F363" s="20"/>
      <c r="G363" s="20"/>
      <c r="H363" s="284"/>
      <c r="I363" s="20"/>
      <c r="J363" s="57"/>
      <c r="K363" s="20"/>
      <c r="L363" s="20"/>
    </row>
    <row r="364" spans="1:12" ht="21.95" customHeight="1">
      <c r="A364" s="53"/>
      <c r="B364" s="20"/>
      <c r="D364" s="20"/>
      <c r="E364" s="20"/>
      <c r="F364" s="20"/>
      <c r="G364" s="20"/>
      <c r="H364" s="284"/>
      <c r="I364" s="20"/>
      <c r="J364" s="57"/>
      <c r="K364" s="20"/>
      <c r="L364" s="20"/>
    </row>
    <row r="365" spans="1:12" ht="21.95" customHeight="1">
      <c r="A365" s="53"/>
      <c r="B365" s="20"/>
      <c r="D365" s="20"/>
      <c r="E365" s="20"/>
      <c r="F365" s="20"/>
      <c r="G365" s="20"/>
      <c r="H365" s="284"/>
      <c r="I365" s="20"/>
      <c r="J365" s="57"/>
      <c r="K365" s="20"/>
      <c r="L365" s="20"/>
    </row>
    <row r="366" spans="1:12" ht="21.95" customHeight="1">
      <c r="A366" s="53"/>
      <c r="B366" s="20"/>
      <c r="D366" s="20"/>
      <c r="E366" s="20"/>
      <c r="F366" s="20"/>
      <c r="G366" s="20"/>
      <c r="H366" s="284"/>
      <c r="I366" s="20"/>
      <c r="J366" s="57"/>
      <c r="K366" s="20"/>
      <c r="L366" s="20"/>
    </row>
    <row r="367" spans="1:12" ht="21.95" customHeight="1">
      <c r="A367" s="53"/>
      <c r="B367" s="20"/>
      <c r="D367" s="20"/>
      <c r="E367" s="20"/>
      <c r="F367" s="20"/>
      <c r="G367" s="20"/>
      <c r="H367" s="284"/>
      <c r="I367" s="20"/>
      <c r="J367" s="57"/>
      <c r="K367" s="20"/>
      <c r="L367" s="20"/>
    </row>
    <row r="368" spans="1:12" ht="21.95" customHeight="1">
      <c r="A368" s="53"/>
      <c r="B368" s="20"/>
      <c r="D368" s="20"/>
      <c r="E368" s="20"/>
      <c r="F368" s="20"/>
      <c r="G368" s="20"/>
      <c r="H368" s="284"/>
      <c r="I368" s="20"/>
      <c r="J368" s="57"/>
      <c r="K368" s="20"/>
      <c r="L368" s="20"/>
    </row>
    <row r="369" spans="1:12" ht="21.95" customHeight="1">
      <c r="A369" s="53"/>
      <c r="B369" s="20"/>
      <c r="D369" s="20"/>
      <c r="E369" s="20"/>
      <c r="F369" s="20"/>
      <c r="G369" s="20"/>
      <c r="H369" s="284"/>
      <c r="I369" s="20"/>
      <c r="J369" s="57"/>
      <c r="K369" s="20"/>
      <c r="L369" s="20"/>
    </row>
    <row r="370" spans="1:12" ht="21.95" customHeight="1">
      <c r="A370" s="53"/>
      <c r="B370" s="20"/>
      <c r="D370" s="20"/>
      <c r="E370" s="20"/>
      <c r="F370" s="20"/>
      <c r="G370" s="20"/>
      <c r="H370" s="284"/>
      <c r="I370" s="20"/>
      <c r="J370" s="57"/>
      <c r="K370" s="20"/>
      <c r="L370" s="20"/>
    </row>
    <row r="371" spans="1:12" ht="21.95" customHeight="1">
      <c r="A371" s="53"/>
      <c r="B371" s="20"/>
      <c r="D371" s="20"/>
      <c r="E371" s="20"/>
      <c r="F371" s="20"/>
      <c r="G371" s="20"/>
      <c r="H371" s="284"/>
      <c r="I371" s="20"/>
      <c r="J371" s="57"/>
      <c r="K371" s="20"/>
      <c r="L371" s="20"/>
    </row>
    <row r="372" spans="1:12" ht="21.95" customHeight="1">
      <c r="A372" s="53"/>
      <c r="B372" s="20"/>
      <c r="D372" s="20"/>
      <c r="E372" s="20"/>
      <c r="F372" s="20"/>
      <c r="G372" s="20"/>
      <c r="H372" s="284"/>
      <c r="I372" s="20"/>
      <c r="J372" s="57"/>
      <c r="K372" s="20"/>
      <c r="L372" s="20"/>
    </row>
    <row r="373" spans="1:12" ht="21.95" customHeight="1">
      <c r="A373" s="53"/>
      <c r="B373" s="20"/>
      <c r="D373" s="20"/>
      <c r="E373" s="20"/>
      <c r="F373" s="20"/>
      <c r="G373" s="20"/>
      <c r="H373" s="284"/>
      <c r="I373" s="20"/>
      <c r="J373" s="57"/>
      <c r="K373" s="20"/>
      <c r="L373" s="20"/>
    </row>
    <row r="374" spans="1:12" ht="21.95" customHeight="1">
      <c r="A374" s="53"/>
      <c r="B374" s="20"/>
      <c r="D374" s="20"/>
      <c r="E374" s="20"/>
      <c r="F374" s="20"/>
      <c r="G374" s="20"/>
      <c r="H374" s="284"/>
      <c r="I374" s="20"/>
      <c r="J374" s="57"/>
      <c r="K374" s="20"/>
      <c r="L374" s="20"/>
    </row>
    <row r="375" spans="1:12" ht="21.95" customHeight="1">
      <c r="A375" s="53"/>
      <c r="B375" s="20"/>
      <c r="D375" s="20"/>
      <c r="E375" s="20"/>
      <c r="F375" s="20"/>
      <c r="G375" s="20"/>
      <c r="H375" s="284"/>
      <c r="I375" s="20"/>
      <c r="J375" s="57"/>
      <c r="K375" s="20"/>
      <c r="L375" s="20"/>
    </row>
    <row r="376" spans="1:12" ht="21.95" customHeight="1">
      <c r="A376" s="53"/>
      <c r="B376" s="20"/>
      <c r="D376" s="20"/>
      <c r="E376" s="20"/>
      <c r="F376" s="20"/>
      <c r="G376" s="20"/>
      <c r="H376" s="284"/>
      <c r="I376" s="20"/>
      <c r="J376" s="57"/>
      <c r="K376" s="20"/>
      <c r="L376" s="20"/>
    </row>
    <row r="377" spans="1:12" ht="21.95" customHeight="1">
      <c r="A377" s="53"/>
      <c r="B377" s="20"/>
      <c r="D377" s="20"/>
      <c r="E377" s="20"/>
      <c r="F377" s="20"/>
      <c r="G377" s="20"/>
      <c r="H377" s="284"/>
      <c r="I377" s="20"/>
      <c r="J377" s="57"/>
      <c r="K377" s="20"/>
      <c r="L377" s="20"/>
    </row>
    <row r="378" spans="1:12" ht="21.95" customHeight="1">
      <c r="A378" s="53"/>
      <c r="B378" s="20"/>
      <c r="D378" s="20"/>
      <c r="E378" s="20"/>
      <c r="F378" s="20"/>
      <c r="G378" s="20"/>
      <c r="H378" s="284"/>
      <c r="I378" s="20"/>
      <c r="J378" s="57"/>
      <c r="K378" s="20"/>
      <c r="L378" s="20"/>
    </row>
    <row r="379" spans="1:12" ht="21.95" customHeight="1">
      <c r="A379" s="53"/>
      <c r="B379" s="20"/>
      <c r="D379" s="20"/>
      <c r="E379" s="20"/>
      <c r="F379" s="20"/>
      <c r="G379" s="20"/>
      <c r="H379" s="284"/>
      <c r="I379" s="20"/>
      <c r="J379" s="57"/>
      <c r="K379" s="20"/>
      <c r="L379" s="20"/>
    </row>
    <row r="380" spans="1:12" ht="21.95" customHeight="1">
      <c r="A380" s="53"/>
      <c r="B380" s="20"/>
      <c r="D380" s="20"/>
      <c r="E380" s="20"/>
      <c r="F380" s="20"/>
      <c r="G380" s="20"/>
      <c r="H380" s="284"/>
      <c r="I380" s="20"/>
      <c r="J380" s="57"/>
      <c r="K380" s="20"/>
      <c r="L380" s="20"/>
    </row>
    <row r="381" spans="1:12" ht="21.95" customHeight="1">
      <c r="A381" s="53"/>
      <c r="B381" s="20"/>
      <c r="D381" s="20"/>
      <c r="E381" s="20"/>
      <c r="F381" s="20"/>
      <c r="G381" s="20"/>
      <c r="H381" s="284"/>
      <c r="I381" s="20"/>
      <c r="J381" s="57"/>
      <c r="K381" s="20"/>
      <c r="L381" s="20"/>
    </row>
    <row r="382" spans="1:12" ht="21.95" customHeight="1">
      <c r="A382" s="53"/>
      <c r="B382" s="20"/>
      <c r="D382" s="20"/>
      <c r="E382" s="20"/>
      <c r="F382" s="20"/>
      <c r="G382" s="20"/>
      <c r="H382" s="284"/>
      <c r="I382" s="20"/>
      <c r="J382" s="57"/>
      <c r="K382" s="20"/>
      <c r="L382" s="20"/>
    </row>
    <row r="383" spans="1:12" ht="21.95" customHeight="1">
      <c r="A383" s="53"/>
      <c r="B383" s="20"/>
      <c r="D383" s="20"/>
      <c r="E383" s="20"/>
      <c r="F383" s="20"/>
      <c r="G383" s="20"/>
      <c r="H383" s="284"/>
      <c r="I383" s="20"/>
      <c r="J383" s="57"/>
      <c r="K383" s="20"/>
      <c r="L383" s="20"/>
    </row>
    <row r="384" spans="1:12" ht="21.95" customHeight="1">
      <c r="A384" s="53"/>
      <c r="B384" s="20"/>
      <c r="D384" s="20"/>
      <c r="E384" s="20"/>
      <c r="F384" s="20"/>
      <c r="G384" s="20"/>
      <c r="H384" s="284"/>
      <c r="I384" s="20"/>
      <c r="J384" s="57"/>
      <c r="K384" s="20"/>
      <c r="L384" s="20"/>
    </row>
    <row r="385" spans="1:12" ht="21.95" customHeight="1">
      <c r="A385" s="53"/>
      <c r="B385" s="20"/>
      <c r="D385" s="20"/>
      <c r="E385" s="20"/>
      <c r="F385" s="20"/>
      <c r="G385" s="20"/>
      <c r="H385" s="284"/>
      <c r="I385" s="20"/>
      <c r="J385" s="57"/>
      <c r="K385" s="20"/>
      <c r="L385" s="20"/>
    </row>
    <row r="386" spans="1:12">
      <c r="A386" s="53"/>
      <c r="B386" s="20"/>
      <c r="D386" s="20"/>
      <c r="E386" s="20"/>
      <c r="F386" s="20"/>
      <c r="G386" s="20"/>
      <c r="H386" s="284"/>
      <c r="I386" s="20"/>
      <c r="J386" s="57"/>
      <c r="K386" s="20"/>
      <c r="L386" s="20"/>
    </row>
    <row r="387" spans="1:12">
      <c r="A387" s="53"/>
      <c r="B387" s="20"/>
      <c r="D387" s="20"/>
      <c r="E387" s="20"/>
      <c r="F387" s="20"/>
      <c r="G387" s="20"/>
      <c r="H387" s="284"/>
      <c r="I387" s="20"/>
      <c r="J387" s="57"/>
      <c r="K387" s="20"/>
      <c r="L387" s="20"/>
    </row>
    <row r="388" spans="1:12">
      <c r="A388" s="53"/>
      <c r="B388" s="20"/>
      <c r="D388" s="20"/>
      <c r="E388" s="20"/>
      <c r="F388" s="20"/>
      <c r="G388" s="20"/>
      <c r="H388" s="284"/>
      <c r="I388" s="20"/>
      <c r="J388" s="57"/>
      <c r="K388" s="20"/>
      <c r="L388" s="20"/>
    </row>
    <row r="389" spans="1:12">
      <c r="A389" s="53"/>
      <c r="B389" s="20"/>
      <c r="D389" s="20"/>
      <c r="E389" s="20"/>
      <c r="F389" s="20"/>
      <c r="G389" s="20"/>
      <c r="H389" s="284"/>
      <c r="I389" s="20"/>
      <c r="J389" s="57"/>
      <c r="K389" s="20"/>
      <c r="L389" s="20"/>
    </row>
    <row r="390" spans="1:12">
      <c r="A390" s="53"/>
      <c r="B390" s="20"/>
      <c r="D390" s="20"/>
      <c r="E390" s="20"/>
      <c r="F390" s="20"/>
      <c r="G390" s="20"/>
      <c r="H390" s="284"/>
      <c r="I390" s="20"/>
      <c r="J390" s="57"/>
      <c r="K390" s="20"/>
      <c r="L390" s="20"/>
    </row>
    <row r="391" spans="1:12">
      <c r="A391" s="53"/>
      <c r="B391" s="20"/>
      <c r="D391" s="20"/>
      <c r="E391" s="20"/>
      <c r="F391" s="20"/>
      <c r="G391" s="20"/>
      <c r="H391" s="284"/>
      <c r="I391" s="20"/>
      <c r="J391" s="57"/>
      <c r="K391" s="20"/>
      <c r="L391" s="20"/>
    </row>
    <row r="392" spans="1:12">
      <c r="A392" s="53"/>
      <c r="B392" s="20"/>
      <c r="D392" s="20"/>
      <c r="E392" s="20"/>
      <c r="F392" s="20"/>
      <c r="G392" s="20"/>
      <c r="H392" s="284"/>
      <c r="I392" s="20"/>
      <c r="J392" s="57"/>
      <c r="K392" s="20"/>
      <c r="L392" s="20"/>
    </row>
    <row r="393" spans="1:12">
      <c r="A393" s="53"/>
      <c r="B393" s="20"/>
      <c r="D393" s="20"/>
      <c r="E393" s="20"/>
      <c r="F393" s="20"/>
      <c r="G393" s="20"/>
      <c r="H393" s="284"/>
      <c r="I393" s="20"/>
      <c r="J393" s="57"/>
      <c r="K393" s="20"/>
      <c r="L393" s="20"/>
    </row>
    <row r="394" spans="1:12">
      <c r="A394" s="53"/>
      <c r="B394" s="20"/>
      <c r="D394" s="20"/>
      <c r="E394" s="20"/>
      <c r="F394" s="20"/>
      <c r="G394" s="20"/>
      <c r="H394" s="284"/>
      <c r="I394" s="20"/>
      <c r="J394" s="57"/>
      <c r="K394" s="20"/>
      <c r="L394" s="20"/>
    </row>
    <row r="395" spans="1:12">
      <c r="A395" s="53"/>
      <c r="B395" s="20"/>
      <c r="D395" s="20"/>
      <c r="E395" s="20"/>
      <c r="F395" s="20"/>
      <c r="G395" s="20"/>
      <c r="H395" s="284"/>
      <c r="I395" s="20"/>
      <c r="J395" s="57"/>
      <c r="K395" s="20"/>
      <c r="L395" s="20"/>
    </row>
    <row r="396" spans="1:12">
      <c r="A396" s="53"/>
      <c r="B396" s="20"/>
      <c r="D396" s="20"/>
      <c r="E396" s="20"/>
      <c r="F396" s="20"/>
      <c r="G396" s="20"/>
      <c r="H396" s="284"/>
      <c r="I396" s="20"/>
      <c r="J396" s="57"/>
      <c r="K396" s="20"/>
      <c r="L396" s="20"/>
    </row>
    <row r="397" spans="1:12">
      <c r="A397" s="53"/>
      <c r="B397" s="20"/>
      <c r="D397" s="20"/>
      <c r="E397" s="20"/>
      <c r="F397" s="20"/>
      <c r="G397" s="20"/>
      <c r="H397" s="284"/>
      <c r="I397" s="20"/>
      <c r="J397" s="57"/>
      <c r="K397" s="20"/>
      <c r="L397" s="20"/>
    </row>
    <row r="398" spans="1:12">
      <c r="A398" s="53"/>
      <c r="B398" s="20"/>
      <c r="D398" s="20"/>
      <c r="E398" s="20"/>
      <c r="F398" s="20"/>
      <c r="G398" s="20"/>
      <c r="H398" s="284"/>
      <c r="I398" s="20"/>
      <c r="J398" s="57"/>
      <c r="K398" s="20"/>
      <c r="L398" s="20"/>
    </row>
    <row r="399" spans="1:12">
      <c r="A399" s="53"/>
      <c r="B399" s="20"/>
      <c r="D399" s="20"/>
      <c r="E399" s="20"/>
      <c r="F399" s="20"/>
      <c r="G399" s="20"/>
      <c r="H399" s="284"/>
      <c r="I399" s="20"/>
      <c r="J399" s="57"/>
      <c r="K399" s="20"/>
      <c r="L399" s="20"/>
    </row>
    <row r="400" spans="1:12">
      <c r="A400" s="53"/>
      <c r="B400" s="20"/>
      <c r="D400" s="20"/>
      <c r="E400" s="20"/>
      <c r="F400" s="20"/>
      <c r="G400" s="20"/>
      <c r="H400" s="284"/>
      <c r="I400" s="20"/>
      <c r="J400" s="57"/>
      <c r="K400" s="20"/>
      <c r="L400" s="20"/>
    </row>
    <row r="401" spans="1:12">
      <c r="A401" s="53"/>
      <c r="B401" s="20"/>
      <c r="D401" s="20"/>
      <c r="E401" s="20"/>
      <c r="F401" s="20"/>
      <c r="G401" s="20"/>
      <c r="H401" s="284"/>
      <c r="I401" s="20"/>
      <c r="J401" s="57"/>
      <c r="K401" s="20"/>
      <c r="L401" s="20"/>
    </row>
    <row r="402" spans="1:12">
      <c r="A402" s="53"/>
      <c r="B402" s="20"/>
      <c r="D402" s="20"/>
      <c r="E402" s="20"/>
      <c r="F402" s="20"/>
      <c r="G402" s="20"/>
      <c r="H402" s="284"/>
      <c r="I402" s="20"/>
      <c r="J402" s="57"/>
      <c r="K402" s="20"/>
      <c r="L402" s="20"/>
    </row>
    <row r="403" spans="1:12">
      <c r="A403" s="53"/>
      <c r="B403" s="20"/>
      <c r="D403" s="20"/>
      <c r="E403" s="20"/>
      <c r="F403" s="20"/>
      <c r="G403" s="20"/>
      <c r="H403" s="284"/>
      <c r="I403" s="20"/>
      <c r="J403" s="57"/>
      <c r="K403" s="20"/>
      <c r="L403" s="20"/>
    </row>
    <row r="404" spans="1:12">
      <c r="A404" s="53"/>
      <c r="B404" s="20"/>
      <c r="D404" s="20"/>
      <c r="E404" s="20"/>
      <c r="F404" s="20"/>
      <c r="G404" s="20"/>
      <c r="H404" s="284"/>
      <c r="I404" s="20"/>
      <c r="J404" s="57"/>
      <c r="K404" s="20"/>
      <c r="L404" s="20"/>
    </row>
    <row r="405" spans="1:12">
      <c r="A405" s="53"/>
      <c r="B405" s="20"/>
      <c r="D405" s="20"/>
      <c r="E405" s="20"/>
      <c r="F405" s="20"/>
      <c r="G405" s="20"/>
      <c r="H405" s="284"/>
      <c r="I405" s="20"/>
      <c r="J405" s="57"/>
      <c r="K405" s="20"/>
      <c r="L405" s="20"/>
    </row>
    <row r="406" spans="1:12">
      <c r="A406" s="53"/>
      <c r="B406" s="20"/>
      <c r="D406" s="20"/>
      <c r="E406" s="20"/>
      <c r="F406" s="20"/>
      <c r="G406" s="20"/>
      <c r="H406" s="284"/>
      <c r="I406" s="20"/>
      <c r="J406" s="57"/>
      <c r="K406" s="20"/>
      <c r="L406" s="20"/>
    </row>
    <row r="407" spans="1:12">
      <c r="A407" s="53"/>
      <c r="B407" s="20"/>
      <c r="D407" s="20"/>
      <c r="E407" s="20"/>
      <c r="F407" s="20"/>
      <c r="G407" s="20"/>
      <c r="H407" s="284"/>
      <c r="I407" s="20"/>
      <c r="J407" s="57"/>
      <c r="K407" s="20"/>
      <c r="L407" s="20"/>
    </row>
    <row r="408" spans="1:12">
      <c r="A408" s="53"/>
      <c r="B408" s="20"/>
      <c r="D408" s="20"/>
      <c r="E408" s="20"/>
      <c r="F408" s="20"/>
      <c r="G408" s="20"/>
      <c r="H408" s="284"/>
      <c r="I408" s="20"/>
      <c r="J408" s="57"/>
      <c r="K408" s="20"/>
      <c r="L408" s="20"/>
    </row>
    <row r="409" spans="1:12">
      <c r="A409" s="53"/>
      <c r="B409" s="20"/>
      <c r="D409" s="20"/>
      <c r="E409" s="20"/>
      <c r="F409" s="20"/>
      <c r="G409" s="20"/>
      <c r="H409" s="284"/>
      <c r="I409" s="20"/>
      <c r="J409" s="57"/>
      <c r="K409" s="20"/>
      <c r="L409" s="20"/>
    </row>
    <row r="410" spans="1:12">
      <c r="A410" s="53"/>
      <c r="B410" s="20"/>
      <c r="D410" s="20"/>
      <c r="E410" s="20"/>
      <c r="F410" s="20"/>
      <c r="G410" s="20"/>
      <c r="H410" s="284"/>
      <c r="I410" s="20"/>
      <c r="J410" s="57"/>
      <c r="K410" s="20"/>
      <c r="L410" s="20"/>
    </row>
    <row r="411" spans="1:12">
      <c r="A411" s="53"/>
      <c r="B411" s="20"/>
      <c r="D411" s="20"/>
      <c r="E411" s="20"/>
      <c r="F411" s="20"/>
      <c r="G411" s="20"/>
      <c r="H411" s="284"/>
      <c r="I411" s="20"/>
      <c r="J411" s="57"/>
      <c r="K411" s="20"/>
      <c r="L411" s="20"/>
    </row>
    <row r="412" spans="1:12">
      <c r="A412" s="53"/>
      <c r="B412" s="20"/>
      <c r="D412" s="20"/>
      <c r="E412" s="20"/>
      <c r="F412" s="20"/>
      <c r="G412" s="20"/>
      <c r="H412" s="284"/>
      <c r="I412" s="20"/>
      <c r="J412" s="57"/>
      <c r="K412" s="20"/>
      <c r="L412" s="20"/>
    </row>
    <row r="413" spans="1:12">
      <c r="A413" s="53"/>
      <c r="B413" s="20"/>
      <c r="D413" s="20"/>
      <c r="E413" s="20"/>
      <c r="F413" s="20"/>
      <c r="G413" s="20"/>
      <c r="H413" s="284"/>
      <c r="I413" s="20"/>
      <c r="J413" s="57"/>
      <c r="K413" s="20"/>
      <c r="L413" s="20"/>
    </row>
    <row r="414" spans="1:12">
      <c r="A414" s="53"/>
      <c r="B414" s="20"/>
      <c r="D414" s="20"/>
      <c r="E414" s="20"/>
      <c r="F414" s="20"/>
      <c r="G414" s="20"/>
      <c r="H414" s="284"/>
      <c r="I414" s="20"/>
      <c r="J414" s="57"/>
      <c r="K414" s="20"/>
      <c r="L414" s="20"/>
    </row>
    <row r="415" spans="1:12">
      <c r="A415" s="53"/>
      <c r="B415" s="20"/>
      <c r="D415" s="20"/>
      <c r="E415" s="20"/>
      <c r="F415" s="20"/>
      <c r="G415" s="20"/>
      <c r="H415" s="284"/>
      <c r="I415" s="20"/>
      <c r="J415" s="57"/>
      <c r="K415" s="20"/>
      <c r="L415" s="20"/>
    </row>
    <row r="416" spans="1:12">
      <c r="A416" s="53"/>
      <c r="B416" s="20"/>
      <c r="D416" s="20"/>
      <c r="E416" s="20"/>
      <c r="F416" s="20"/>
      <c r="G416" s="20"/>
      <c r="H416" s="284"/>
      <c r="I416" s="20"/>
      <c r="J416" s="57"/>
      <c r="K416" s="20"/>
      <c r="L416" s="20"/>
    </row>
    <row r="417" spans="1:12">
      <c r="A417" s="53"/>
      <c r="B417" s="20"/>
      <c r="D417" s="20"/>
      <c r="E417" s="20"/>
      <c r="F417" s="20"/>
      <c r="G417" s="20"/>
      <c r="H417" s="284"/>
      <c r="I417" s="20"/>
      <c r="J417" s="57"/>
      <c r="K417" s="20"/>
      <c r="L417" s="20"/>
    </row>
    <row r="418" spans="1:12">
      <c r="A418" s="53"/>
      <c r="B418" s="20"/>
      <c r="D418" s="20"/>
      <c r="E418" s="20"/>
      <c r="F418" s="20"/>
      <c r="G418" s="20"/>
      <c r="H418" s="284"/>
      <c r="I418" s="20"/>
      <c r="J418" s="57"/>
      <c r="K418" s="20"/>
      <c r="L418" s="20"/>
    </row>
    <row r="419" spans="1:12">
      <c r="A419" s="53"/>
      <c r="B419" s="20"/>
      <c r="D419" s="20"/>
      <c r="E419" s="20"/>
      <c r="F419" s="20"/>
      <c r="G419" s="20"/>
      <c r="H419" s="284"/>
      <c r="I419" s="20"/>
      <c r="J419" s="57"/>
      <c r="K419" s="20"/>
      <c r="L419" s="20"/>
    </row>
    <row r="420" spans="1:12">
      <c r="A420" s="53"/>
      <c r="B420" s="20"/>
      <c r="D420" s="20"/>
      <c r="E420" s="20"/>
      <c r="F420" s="20"/>
      <c r="G420" s="20"/>
      <c r="H420" s="284"/>
      <c r="I420" s="20"/>
      <c r="J420" s="57"/>
      <c r="K420" s="20"/>
      <c r="L420" s="20"/>
    </row>
    <row r="421" spans="1:12">
      <c r="A421" s="53"/>
      <c r="B421" s="20"/>
      <c r="D421" s="20"/>
      <c r="E421" s="20"/>
      <c r="F421" s="20"/>
      <c r="G421" s="20"/>
      <c r="H421" s="284"/>
      <c r="I421" s="20"/>
      <c r="J421" s="57"/>
      <c r="K421" s="20"/>
      <c r="L421" s="20"/>
    </row>
    <row r="422" spans="1:12">
      <c r="A422" s="53"/>
      <c r="B422" s="20"/>
      <c r="D422" s="20"/>
      <c r="E422" s="20"/>
      <c r="F422" s="20"/>
      <c r="G422" s="20"/>
      <c r="H422" s="284"/>
      <c r="I422" s="20"/>
      <c r="J422" s="57"/>
      <c r="K422" s="20"/>
      <c r="L422" s="20"/>
    </row>
    <row r="423" spans="1:12">
      <c r="A423" s="53"/>
      <c r="B423" s="20"/>
      <c r="D423" s="20"/>
      <c r="E423" s="20"/>
      <c r="F423" s="20"/>
      <c r="G423" s="20"/>
      <c r="H423" s="284"/>
      <c r="I423" s="20"/>
      <c r="J423" s="57"/>
      <c r="K423" s="20"/>
      <c r="L423" s="20"/>
    </row>
    <row r="424" spans="1:12">
      <c r="A424" s="53"/>
      <c r="B424" s="20"/>
      <c r="D424" s="20"/>
      <c r="E424" s="20"/>
      <c r="F424" s="20"/>
      <c r="G424" s="20"/>
      <c r="H424" s="284"/>
      <c r="I424" s="20"/>
      <c r="J424" s="57"/>
      <c r="K424" s="20"/>
      <c r="L424" s="20"/>
    </row>
    <row r="425" spans="1:12">
      <c r="A425" s="53"/>
      <c r="B425" s="20"/>
      <c r="D425" s="20"/>
      <c r="E425" s="20"/>
      <c r="F425" s="20"/>
      <c r="G425" s="20"/>
      <c r="H425" s="284"/>
      <c r="I425" s="20"/>
      <c r="J425" s="57"/>
      <c r="K425" s="20"/>
      <c r="L425" s="20"/>
    </row>
    <row r="426" spans="1:12">
      <c r="A426" s="53"/>
      <c r="B426" s="20"/>
      <c r="D426" s="20"/>
      <c r="E426" s="20"/>
      <c r="F426" s="20"/>
      <c r="G426" s="20"/>
      <c r="H426" s="284"/>
      <c r="I426" s="20"/>
      <c r="J426" s="57"/>
      <c r="K426" s="20"/>
      <c r="L426" s="20"/>
    </row>
    <row r="427" spans="1:12">
      <c r="A427" s="53"/>
      <c r="B427" s="20"/>
      <c r="D427" s="20"/>
      <c r="E427" s="20"/>
      <c r="F427" s="20"/>
      <c r="G427" s="20"/>
      <c r="H427" s="284"/>
      <c r="I427" s="20"/>
      <c r="J427" s="57"/>
      <c r="K427" s="20"/>
      <c r="L427" s="20"/>
    </row>
    <row r="428" spans="1:12">
      <c r="A428" s="53"/>
      <c r="B428" s="20"/>
      <c r="D428" s="20"/>
      <c r="E428" s="20"/>
      <c r="F428" s="20"/>
      <c r="G428" s="20"/>
      <c r="H428" s="284"/>
      <c r="I428" s="20"/>
      <c r="J428" s="57"/>
      <c r="K428" s="20"/>
      <c r="L428" s="20"/>
    </row>
    <row r="429" spans="1:12">
      <c r="A429" s="53"/>
      <c r="B429" s="20"/>
      <c r="D429" s="20"/>
      <c r="E429" s="20"/>
      <c r="F429" s="20"/>
      <c r="G429" s="20"/>
      <c r="H429" s="284"/>
      <c r="I429" s="20"/>
      <c r="J429" s="57"/>
      <c r="K429" s="20"/>
      <c r="L429" s="20"/>
    </row>
    <row r="430" spans="1:12">
      <c r="A430" s="53"/>
      <c r="B430" s="20"/>
      <c r="D430" s="20"/>
      <c r="E430" s="20"/>
      <c r="F430" s="20"/>
      <c r="G430" s="20"/>
      <c r="H430" s="284"/>
      <c r="I430" s="20"/>
      <c r="J430" s="57"/>
      <c r="K430" s="20"/>
      <c r="L430" s="20"/>
    </row>
    <row r="431" spans="1:12">
      <c r="A431" s="53"/>
      <c r="B431" s="20"/>
      <c r="D431" s="20"/>
      <c r="E431" s="20"/>
      <c r="F431" s="20"/>
      <c r="G431" s="20"/>
      <c r="H431" s="284"/>
      <c r="I431" s="20"/>
      <c r="J431" s="57"/>
      <c r="K431" s="20"/>
      <c r="L431" s="20"/>
    </row>
    <row r="432" spans="1:12">
      <c r="A432" s="53"/>
      <c r="B432" s="20"/>
      <c r="D432" s="20"/>
      <c r="E432" s="20"/>
      <c r="F432" s="20"/>
      <c r="G432" s="20"/>
      <c r="H432" s="284"/>
      <c r="I432" s="20"/>
      <c r="J432" s="57"/>
      <c r="K432" s="20"/>
      <c r="L432" s="20"/>
    </row>
    <row r="433" spans="1:12">
      <c r="A433" s="53"/>
      <c r="B433" s="20"/>
      <c r="D433" s="20"/>
      <c r="E433" s="20"/>
      <c r="F433" s="20"/>
      <c r="G433" s="20"/>
      <c r="H433" s="284"/>
      <c r="I433" s="20"/>
      <c r="J433" s="57"/>
      <c r="K433" s="20"/>
      <c r="L433" s="20"/>
    </row>
    <row r="434" spans="1:12">
      <c r="A434" s="53"/>
      <c r="B434" s="20"/>
      <c r="D434" s="20"/>
      <c r="E434" s="20"/>
      <c r="F434" s="20"/>
      <c r="G434" s="20"/>
      <c r="H434" s="284"/>
      <c r="I434" s="20"/>
      <c r="J434" s="57"/>
      <c r="K434" s="20"/>
      <c r="L434" s="20"/>
    </row>
    <row r="435" spans="1:12">
      <c r="A435" s="53"/>
      <c r="B435" s="20"/>
      <c r="D435" s="20"/>
      <c r="E435" s="20"/>
      <c r="F435" s="20"/>
      <c r="G435" s="20"/>
      <c r="H435" s="284"/>
      <c r="I435" s="20"/>
      <c r="J435" s="57"/>
      <c r="K435" s="20"/>
      <c r="L435" s="20"/>
    </row>
    <row r="436" spans="1:12">
      <c r="A436" s="53"/>
      <c r="B436" s="20"/>
      <c r="D436" s="20"/>
      <c r="E436" s="20"/>
      <c r="F436" s="20"/>
      <c r="G436" s="20"/>
      <c r="H436" s="284"/>
      <c r="I436" s="20"/>
      <c r="J436" s="57"/>
      <c r="K436" s="20"/>
      <c r="L436" s="20"/>
    </row>
    <row r="437" spans="1:12">
      <c r="A437" s="53"/>
      <c r="B437" s="20"/>
      <c r="D437" s="20"/>
      <c r="E437" s="20"/>
      <c r="F437" s="20"/>
      <c r="G437" s="20"/>
      <c r="H437" s="284"/>
      <c r="I437" s="20"/>
      <c r="J437" s="57"/>
      <c r="K437" s="20"/>
      <c r="L437" s="20"/>
    </row>
    <row r="438" spans="1:12">
      <c r="A438" s="53"/>
      <c r="B438" s="20"/>
      <c r="D438" s="20"/>
      <c r="E438" s="20"/>
      <c r="F438" s="20"/>
      <c r="G438" s="20"/>
      <c r="H438" s="284"/>
      <c r="I438" s="20"/>
      <c r="J438" s="57"/>
      <c r="K438" s="20"/>
      <c r="L438" s="20"/>
    </row>
    <row r="439" spans="1:12">
      <c r="A439" s="53"/>
      <c r="B439" s="20"/>
      <c r="D439" s="20"/>
      <c r="E439" s="20"/>
      <c r="F439" s="20"/>
      <c r="G439" s="20"/>
      <c r="H439" s="284"/>
      <c r="I439" s="20"/>
      <c r="J439" s="57"/>
      <c r="K439" s="20"/>
      <c r="L439" s="20"/>
    </row>
    <row r="440" spans="1:12">
      <c r="A440" s="53"/>
      <c r="B440" s="20" t="s">
        <v>174</v>
      </c>
      <c r="D440" s="20"/>
      <c r="E440" s="20"/>
      <c r="F440" s="20"/>
      <c r="G440" s="20"/>
      <c r="H440" s="284"/>
      <c r="I440" s="20"/>
      <c r="J440" s="57"/>
      <c r="K440" s="20"/>
      <c r="L440" s="20"/>
    </row>
    <row r="441" spans="1:12">
      <c r="A441" s="53"/>
      <c r="B441" s="20"/>
      <c r="D441" s="20"/>
      <c r="E441" s="20"/>
      <c r="F441" s="20"/>
      <c r="G441" s="20"/>
      <c r="H441" s="284"/>
      <c r="I441" s="20"/>
      <c r="J441" s="57"/>
      <c r="K441" s="20"/>
      <c r="L441" s="20"/>
    </row>
    <row r="442" spans="1:12">
      <c r="A442" s="53"/>
      <c r="B442" s="20"/>
      <c r="D442" s="20"/>
      <c r="E442" s="20"/>
      <c r="F442" s="20"/>
      <c r="G442" s="20"/>
      <c r="H442" s="284"/>
      <c r="I442" s="20"/>
      <c r="J442" s="57"/>
      <c r="K442" s="20"/>
      <c r="L442" s="20"/>
    </row>
    <row r="443" spans="1:12">
      <c r="A443" s="53"/>
      <c r="B443" s="20"/>
      <c r="D443" s="20"/>
      <c r="E443" s="20"/>
      <c r="F443" s="20"/>
      <c r="G443" s="20"/>
      <c r="H443" s="284"/>
      <c r="I443" s="20"/>
      <c r="J443" s="57"/>
      <c r="K443" s="20"/>
      <c r="L443" s="20"/>
    </row>
    <row r="444" spans="1:12">
      <c r="A444" s="53"/>
      <c r="B444" s="20"/>
      <c r="D444" s="20"/>
      <c r="E444" s="20"/>
      <c r="F444" s="20"/>
      <c r="G444" s="20"/>
      <c r="H444" s="284"/>
      <c r="I444" s="20"/>
      <c r="J444" s="57"/>
      <c r="K444" s="20"/>
      <c r="L444" s="20"/>
    </row>
    <row r="445" spans="1:12">
      <c r="A445" s="53"/>
      <c r="B445" s="20"/>
      <c r="D445" s="20"/>
      <c r="E445" s="20"/>
      <c r="F445" s="20"/>
      <c r="G445" s="20"/>
      <c r="H445" s="284"/>
      <c r="I445" s="20"/>
      <c r="J445" s="57"/>
      <c r="K445" s="20"/>
      <c r="L445" s="20"/>
    </row>
    <row r="446" spans="1:12">
      <c r="A446" s="53"/>
      <c r="B446" s="20"/>
      <c r="D446" s="20"/>
      <c r="E446" s="20"/>
      <c r="F446" s="20"/>
      <c r="G446" s="20"/>
      <c r="H446" s="284"/>
      <c r="I446" s="20"/>
      <c r="J446" s="57"/>
      <c r="K446" s="20"/>
      <c r="L446" s="20"/>
    </row>
    <row r="447" spans="1:12">
      <c r="A447" s="53"/>
      <c r="B447" s="20"/>
      <c r="D447" s="20"/>
      <c r="E447" s="20"/>
      <c r="F447" s="20"/>
      <c r="G447" s="20"/>
      <c r="H447" s="284"/>
      <c r="I447" s="20"/>
      <c r="J447" s="57"/>
      <c r="K447" s="20"/>
      <c r="L447" s="20"/>
    </row>
    <row r="448" spans="1:12">
      <c r="A448" s="53"/>
      <c r="B448" s="20"/>
      <c r="D448" s="20"/>
      <c r="E448" s="20"/>
      <c r="F448" s="20"/>
      <c r="G448" s="20"/>
      <c r="H448" s="284"/>
      <c r="I448" s="20"/>
      <c r="J448" s="57"/>
      <c r="K448" s="20"/>
      <c r="L448" s="20"/>
    </row>
    <row r="449" spans="1:12">
      <c r="A449" s="53"/>
      <c r="B449" s="20"/>
      <c r="D449" s="20"/>
      <c r="E449" s="20"/>
      <c r="F449" s="20"/>
      <c r="G449" s="20"/>
      <c r="H449" s="284"/>
      <c r="I449" s="20"/>
      <c r="J449" s="57"/>
      <c r="K449" s="20"/>
      <c r="L449" s="20"/>
    </row>
    <row r="450" spans="1:12">
      <c r="A450" s="53"/>
      <c r="B450" s="20"/>
      <c r="D450" s="20"/>
      <c r="E450" s="20"/>
      <c r="F450" s="20"/>
      <c r="G450" s="20"/>
      <c r="H450" s="284"/>
      <c r="I450" s="20"/>
      <c r="J450" s="57"/>
      <c r="K450" s="20"/>
      <c r="L450" s="20"/>
    </row>
    <row r="451" spans="1:12">
      <c r="A451" s="53"/>
      <c r="B451" s="20"/>
      <c r="D451" s="20"/>
      <c r="E451" s="20"/>
      <c r="F451" s="20"/>
      <c r="G451" s="20"/>
      <c r="H451" s="284"/>
      <c r="I451" s="20"/>
      <c r="J451" s="57"/>
      <c r="K451" s="20"/>
      <c r="L451" s="20"/>
    </row>
    <row r="452" spans="1:12">
      <c r="A452" s="53"/>
      <c r="B452" s="20"/>
      <c r="D452" s="20"/>
      <c r="E452" s="20"/>
      <c r="F452" s="20"/>
      <c r="G452" s="20"/>
      <c r="H452" s="284"/>
      <c r="I452" s="20"/>
      <c r="J452" s="57"/>
      <c r="K452" s="20"/>
      <c r="L452" s="20"/>
    </row>
    <row r="453" spans="1:12">
      <c r="A453" s="53"/>
      <c r="B453" s="20"/>
      <c r="D453" s="20"/>
      <c r="E453" s="20"/>
      <c r="F453" s="20"/>
      <c r="G453" s="20"/>
      <c r="H453" s="284"/>
      <c r="I453" s="20"/>
      <c r="J453" s="57"/>
      <c r="K453" s="20"/>
      <c r="L453" s="20"/>
    </row>
    <row r="454" spans="1:12">
      <c r="A454" s="53"/>
      <c r="B454" s="20"/>
      <c r="D454" s="20"/>
      <c r="E454" s="20"/>
      <c r="F454" s="20"/>
      <c r="G454" s="20"/>
      <c r="H454" s="284"/>
      <c r="I454" s="20"/>
      <c r="J454" s="57"/>
      <c r="K454" s="20"/>
      <c r="L454" s="20"/>
    </row>
    <row r="455" spans="1:12">
      <c r="A455" s="53"/>
      <c r="B455" s="20"/>
      <c r="D455" s="20"/>
      <c r="E455" s="20"/>
      <c r="F455" s="20"/>
      <c r="G455" s="20"/>
      <c r="H455" s="284"/>
      <c r="I455" s="20"/>
      <c r="J455" s="57"/>
      <c r="K455" s="20"/>
      <c r="L455" s="20"/>
    </row>
    <row r="456" spans="1:12">
      <c r="A456" s="53"/>
      <c r="B456" s="20"/>
      <c r="D456" s="20"/>
      <c r="E456" s="20"/>
      <c r="F456" s="20"/>
      <c r="G456" s="20"/>
      <c r="H456" s="284"/>
      <c r="I456" s="20"/>
      <c r="J456" s="57"/>
      <c r="K456" s="20"/>
      <c r="L456" s="20"/>
    </row>
    <row r="457" spans="1:12">
      <c r="A457" s="53"/>
      <c r="B457" s="20"/>
      <c r="D457" s="20"/>
      <c r="E457" s="20"/>
      <c r="F457" s="20"/>
      <c r="G457" s="20"/>
      <c r="H457" s="284"/>
      <c r="I457" s="20"/>
      <c r="J457" s="57"/>
      <c r="K457" s="20"/>
      <c r="L457" s="20"/>
    </row>
    <row r="458" spans="1:12">
      <c r="A458" s="53"/>
      <c r="B458" s="20"/>
      <c r="D458" s="20"/>
      <c r="E458" s="20"/>
      <c r="F458" s="20"/>
      <c r="G458" s="20"/>
      <c r="H458" s="284"/>
      <c r="I458" s="20"/>
      <c r="J458" s="57"/>
      <c r="K458" s="20"/>
      <c r="L458" s="20"/>
    </row>
    <row r="459" spans="1:12">
      <c r="A459" s="53"/>
      <c r="B459" s="20"/>
      <c r="D459" s="20"/>
      <c r="E459" s="20"/>
      <c r="F459" s="20"/>
      <c r="G459" s="20"/>
      <c r="H459" s="284"/>
      <c r="I459" s="20"/>
      <c r="J459" s="57"/>
      <c r="K459" s="20"/>
      <c r="L459" s="20"/>
    </row>
    <row r="460" spans="1:12">
      <c r="A460" s="53"/>
      <c r="B460" s="20"/>
      <c r="D460" s="20"/>
      <c r="E460" s="20"/>
      <c r="F460" s="20"/>
      <c r="G460" s="20"/>
      <c r="H460" s="284"/>
      <c r="I460" s="20"/>
      <c r="J460" s="57"/>
      <c r="K460" s="20"/>
      <c r="L460" s="20"/>
    </row>
    <row r="461" spans="1:12">
      <c r="A461" s="53"/>
      <c r="B461" s="20"/>
      <c r="D461" s="20"/>
      <c r="E461" s="20"/>
      <c r="F461" s="20"/>
      <c r="G461" s="20"/>
      <c r="H461" s="284"/>
      <c r="I461" s="20"/>
      <c r="J461" s="57"/>
      <c r="K461" s="20"/>
      <c r="L461" s="20"/>
    </row>
    <row r="462" spans="1:12">
      <c r="A462" s="53"/>
      <c r="B462" s="20"/>
      <c r="D462" s="20"/>
      <c r="E462" s="20"/>
      <c r="F462" s="20"/>
      <c r="G462" s="20"/>
      <c r="H462" s="284"/>
      <c r="I462" s="20"/>
      <c r="J462" s="57"/>
      <c r="K462" s="20"/>
      <c r="L462" s="20"/>
    </row>
    <row r="463" spans="1:12">
      <c r="A463" s="53"/>
      <c r="B463" s="20"/>
      <c r="D463" s="20"/>
      <c r="E463" s="20"/>
      <c r="F463" s="20"/>
      <c r="G463" s="20"/>
      <c r="H463" s="284"/>
      <c r="I463" s="20"/>
      <c r="J463" s="57"/>
      <c r="K463" s="20"/>
      <c r="L463" s="20"/>
    </row>
    <row r="464" spans="1:12">
      <c r="A464" s="53"/>
      <c r="B464" s="20"/>
      <c r="D464" s="20"/>
      <c r="E464" s="20"/>
      <c r="F464" s="20"/>
      <c r="G464" s="20"/>
      <c r="H464" s="284"/>
      <c r="I464" s="20"/>
      <c r="J464" s="57"/>
      <c r="K464" s="20"/>
      <c r="L464" s="20"/>
    </row>
    <row r="465" spans="1:12">
      <c r="A465" s="53"/>
      <c r="B465" s="20"/>
      <c r="D465" s="20"/>
      <c r="E465" s="20"/>
      <c r="F465" s="20"/>
      <c r="G465" s="20"/>
      <c r="H465" s="284"/>
      <c r="I465" s="20"/>
      <c r="J465" s="57"/>
      <c r="K465" s="20"/>
      <c r="L465" s="20"/>
    </row>
    <row r="466" spans="1:12">
      <c r="A466" s="53"/>
      <c r="B466" s="20"/>
      <c r="D466" s="20"/>
      <c r="E466" s="20"/>
      <c r="F466" s="20"/>
      <c r="G466" s="20"/>
      <c r="H466" s="284"/>
      <c r="I466" s="20"/>
      <c r="J466" s="57"/>
      <c r="K466" s="20"/>
      <c r="L466" s="20"/>
    </row>
    <row r="467" spans="1:12">
      <c r="A467" s="53"/>
      <c r="B467" s="20"/>
      <c r="D467" s="20"/>
      <c r="E467" s="20"/>
      <c r="F467" s="20"/>
      <c r="G467" s="20"/>
      <c r="H467" s="284"/>
      <c r="I467" s="20"/>
      <c r="J467" s="57"/>
      <c r="K467" s="20"/>
      <c r="L467" s="20"/>
    </row>
    <row r="468" spans="1:12">
      <c r="A468" s="53"/>
      <c r="B468" s="20"/>
      <c r="D468" s="20"/>
      <c r="E468" s="20"/>
      <c r="F468" s="20"/>
      <c r="G468" s="20"/>
      <c r="H468" s="284"/>
      <c r="I468" s="20"/>
      <c r="J468" s="57"/>
      <c r="K468" s="20"/>
      <c r="L468" s="20"/>
    </row>
    <row r="469" spans="1:12">
      <c r="A469" s="53"/>
      <c r="B469" s="20"/>
      <c r="D469" s="20"/>
      <c r="E469" s="20"/>
      <c r="F469" s="20"/>
      <c r="G469" s="20"/>
      <c r="H469" s="284"/>
      <c r="I469" s="20"/>
      <c r="J469" s="57"/>
      <c r="K469" s="20"/>
      <c r="L469" s="20"/>
    </row>
    <row r="470" spans="1:12">
      <c r="A470" s="53"/>
      <c r="B470" s="20"/>
      <c r="D470" s="20"/>
      <c r="E470" s="20"/>
      <c r="F470" s="20"/>
      <c r="G470" s="20"/>
      <c r="H470" s="284"/>
      <c r="I470" s="20"/>
      <c r="J470" s="57"/>
      <c r="K470" s="20"/>
      <c r="L470" s="20"/>
    </row>
    <row r="471" spans="1:12">
      <c r="A471" s="53"/>
      <c r="B471" s="20"/>
      <c r="D471" s="20"/>
      <c r="E471" s="20"/>
      <c r="F471" s="20"/>
      <c r="G471" s="20"/>
      <c r="H471" s="284"/>
      <c r="I471" s="20"/>
      <c r="J471" s="57"/>
      <c r="K471" s="20"/>
      <c r="L471" s="20"/>
    </row>
    <row r="472" spans="1:12">
      <c r="A472" s="53"/>
      <c r="B472" s="20"/>
      <c r="D472" s="20"/>
      <c r="E472" s="20"/>
      <c r="F472" s="20"/>
      <c r="G472" s="20"/>
      <c r="H472" s="284"/>
      <c r="I472" s="20"/>
      <c r="J472" s="57"/>
      <c r="K472" s="20"/>
      <c r="L472" s="20"/>
    </row>
    <row r="473" spans="1:12">
      <c r="A473" s="53"/>
      <c r="B473" s="20"/>
      <c r="D473" s="20"/>
      <c r="E473" s="20"/>
      <c r="F473" s="20"/>
      <c r="G473" s="20"/>
      <c r="H473" s="284"/>
      <c r="I473" s="20"/>
      <c r="J473" s="57"/>
      <c r="K473" s="20"/>
      <c r="L473" s="20"/>
    </row>
    <row r="474" spans="1:12">
      <c r="A474" s="53"/>
      <c r="B474" s="20"/>
      <c r="D474" s="20"/>
      <c r="E474" s="20"/>
      <c r="F474" s="20"/>
      <c r="G474" s="20"/>
      <c r="H474" s="284"/>
      <c r="I474" s="20"/>
      <c r="J474" s="57"/>
      <c r="K474" s="20"/>
      <c r="L474" s="20"/>
    </row>
    <row r="475" spans="1:12">
      <c r="A475" s="53"/>
      <c r="B475" s="20"/>
      <c r="D475" s="20"/>
      <c r="E475" s="20"/>
      <c r="F475" s="20"/>
      <c r="G475" s="20"/>
      <c r="H475" s="284"/>
      <c r="I475" s="20"/>
      <c r="J475" s="57"/>
      <c r="K475" s="20"/>
      <c r="L475" s="20"/>
    </row>
    <row r="476" spans="1:12">
      <c r="A476" s="53"/>
      <c r="B476" s="20"/>
      <c r="D476" s="20"/>
      <c r="E476" s="20"/>
      <c r="F476" s="20"/>
      <c r="G476" s="20"/>
      <c r="H476" s="284"/>
      <c r="I476" s="20"/>
      <c r="J476" s="57"/>
      <c r="K476" s="20"/>
      <c r="L476" s="20"/>
    </row>
    <row r="477" spans="1:12">
      <c r="A477" s="53"/>
      <c r="B477" s="20"/>
      <c r="D477" s="20"/>
      <c r="E477" s="20"/>
      <c r="F477" s="20"/>
      <c r="G477" s="20"/>
      <c r="H477" s="284"/>
      <c r="I477" s="20"/>
      <c r="J477" s="57"/>
      <c r="K477" s="20"/>
      <c r="L477" s="20"/>
    </row>
    <row r="478" spans="1:12">
      <c r="A478" s="53"/>
      <c r="B478" s="20"/>
      <c r="D478" s="20"/>
      <c r="E478" s="20"/>
      <c r="F478" s="20"/>
      <c r="G478" s="20"/>
      <c r="H478" s="284"/>
      <c r="I478" s="20"/>
      <c r="J478" s="57"/>
      <c r="K478" s="20"/>
      <c r="L478" s="20"/>
    </row>
    <row r="479" spans="1:12">
      <c r="A479" s="53"/>
      <c r="B479" s="20"/>
      <c r="D479" s="20"/>
      <c r="E479" s="20"/>
      <c r="F479" s="20"/>
      <c r="G479" s="20"/>
      <c r="H479" s="284"/>
      <c r="I479" s="20"/>
      <c r="J479" s="57"/>
      <c r="K479" s="20"/>
      <c r="L479" s="20"/>
    </row>
    <row r="480" spans="1:12">
      <c r="A480" s="53"/>
      <c r="B480" s="20"/>
      <c r="D480" s="20"/>
      <c r="E480" s="20"/>
      <c r="F480" s="20"/>
      <c r="G480" s="20"/>
      <c r="H480" s="284"/>
      <c r="I480" s="20"/>
      <c r="J480" s="57"/>
      <c r="K480" s="20"/>
      <c r="L480" s="20"/>
    </row>
    <row r="481" spans="1:12">
      <c r="A481" s="53"/>
      <c r="B481" s="20"/>
      <c r="D481" s="20"/>
      <c r="E481" s="20"/>
      <c r="F481" s="20"/>
      <c r="G481" s="20"/>
      <c r="H481" s="284"/>
      <c r="I481" s="20"/>
      <c r="J481" s="57"/>
      <c r="K481" s="20"/>
      <c r="L481" s="20"/>
    </row>
    <row r="482" spans="1:12">
      <c r="A482" s="53"/>
      <c r="B482" s="20"/>
      <c r="D482" s="20"/>
      <c r="E482" s="20"/>
      <c r="F482" s="20"/>
      <c r="G482" s="20"/>
      <c r="H482" s="284"/>
      <c r="I482" s="20"/>
      <c r="J482" s="57"/>
      <c r="K482" s="20"/>
      <c r="L482" s="20"/>
    </row>
    <row r="483" spans="1:12">
      <c r="A483" s="53"/>
      <c r="B483" s="20"/>
      <c r="D483" s="20"/>
      <c r="E483" s="20"/>
      <c r="F483" s="20"/>
      <c r="G483" s="20"/>
      <c r="H483" s="284"/>
      <c r="I483" s="20"/>
      <c r="J483" s="57"/>
      <c r="K483" s="20"/>
      <c r="L483" s="20"/>
    </row>
    <row r="484" spans="1:12">
      <c r="A484" s="53"/>
      <c r="B484" s="20"/>
      <c r="D484" s="20"/>
      <c r="E484" s="20"/>
      <c r="F484" s="20"/>
      <c r="G484" s="20"/>
      <c r="H484" s="284"/>
      <c r="I484" s="20"/>
      <c r="J484" s="57"/>
      <c r="K484" s="20"/>
      <c r="L484" s="20"/>
    </row>
    <row r="485" spans="1:12">
      <c r="A485" s="53"/>
      <c r="B485" s="20"/>
      <c r="D485" s="20"/>
      <c r="E485" s="20"/>
      <c r="F485" s="20"/>
      <c r="G485" s="20"/>
      <c r="H485" s="284"/>
      <c r="I485" s="20"/>
      <c r="J485" s="57"/>
      <c r="K485" s="20"/>
      <c r="L485" s="20"/>
    </row>
    <row r="486" spans="1:12">
      <c r="A486" s="53"/>
      <c r="B486" s="20"/>
      <c r="D486" s="20"/>
      <c r="E486" s="20"/>
      <c r="F486" s="20"/>
      <c r="G486" s="20"/>
      <c r="H486" s="284"/>
      <c r="I486" s="20"/>
      <c r="J486" s="57"/>
      <c r="K486" s="20"/>
      <c r="L486" s="20"/>
    </row>
    <row r="487" spans="1:12">
      <c r="A487" s="53"/>
      <c r="B487" s="20"/>
      <c r="D487" s="20"/>
      <c r="E487" s="20"/>
      <c r="F487" s="20"/>
      <c r="G487" s="20"/>
      <c r="H487" s="284"/>
      <c r="I487" s="20"/>
      <c r="J487" s="57"/>
      <c r="K487" s="20"/>
      <c r="L487" s="20"/>
    </row>
    <row r="488" spans="1:12">
      <c r="A488" s="53"/>
      <c r="B488" s="20"/>
      <c r="D488" s="20"/>
      <c r="E488" s="20"/>
      <c r="F488" s="20"/>
      <c r="G488" s="20"/>
      <c r="H488" s="284"/>
      <c r="I488" s="20"/>
      <c r="J488" s="57"/>
      <c r="K488" s="20"/>
      <c r="L488" s="20"/>
    </row>
    <row r="489" spans="1:12">
      <c r="A489" s="53"/>
      <c r="B489" s="20"/>
      <c r="D489" s="20"/>
      <c r="E489" s="20"/>
      <c r="F489" s="20"/>
      <c r="G489" s="20"/>
      <c r="H489" s="284"/>
      <c r="I489" s="20"/>
      <c r="J489" s="57"/>
      <c r="K489" s="20"/>
      <c r="L489" s="20"/>
    </row>
    <row r="490" spans="1:12">
      <c r="A490" s="53"/>
      <c r="B490" s="20"/>
      <c r="D490" s="20"/>
      <c r="E490" s="20"/>
      <c r="F490" s="20"/>
      <c r="G490" s="20"/>
      <c r="H490" s="284"/>
      <c r="I490" s="20"/>
      <c r="J490" s="57"/>
      <c r="K490" s="20"/>
      <c r="L490" s="20"/>
    </row>
    <row r="491" spans="1:12">
      <c r="A491" s="53"/>
      <c r="B491" s="20"/>
      <c r="D491" s="20"/>
      <c r="E491" s="20"/>
      <c r="F491" s="20"/>
      <c r="G491" s="20"/>
      <c r="H491" s="284"/>
      <c r="I491" s="20"/>
      <c r="J491" s="57"/>
      <c r="K491" s="20"/>
      <c r="L491" s="20"/>
    </row>
    <row r="492" spans="1:12">
      <c r="A492" s="53"/>
      <c r="B492" s="20"/>
      <c r="D492" s="20"/>
      <c r="E492" s="20"/>
      <c r="F492" s="20"/>
      <c r="G492" s="20"/>
      <c r="H492" s="284"/>
      <c r="I492" s="20"/>
      <c r="J492" s="57"/>
      <c r="K492" s="20"/>
      <c r="L492" s="20"/>
    </row>
    <row r="493" spans="1:12">
      <c r="A493" s="53"/>
      <c r="B493" s="20"/>
      <c r="D493" s="20"/>
      <c r="E493" s="20"/>
      <c r="F493" s="20"/>
      <c r="G493" s="20"/>
      <c r="H493" s="284"/>
      <c r="I493" s="20"/>
      <c r="J493" s="57"/>
      <c r="K493" s="20"/>
      <c r="L493" s="20"/>
    </row>
    <row r="494" spans="1:12">
      <c r="A494" s="53"/>
      <c r="B494" s="20"/>
      <c r="D494" s="20"/>
      <c r="E494" s="20"/>
      <c r="F494" s="20"/>
      <c r="G494" s="20"/>
      <c r="H494" s="284"/>
      <c r="I494" s="20"/>
      <c r="J494" s="57"/>
      <c r="K494" s="20"/>
      <c r="L494" s="20"/>
    </row>
    <row r="495" spans="1:12">
      <c r="A495" s="53"/>
      <c r="B495" s="20"/>
      <c r="D495" s="20"/>
      <c r="E495" s="20"/>
      <c r="F495" s="20"/>
      <c r="G495" s="20"/>
      <c r="H495" s="284"/>
      <c r="I495" s="20"/>
      <c r="J495" s="57"/>
      <c r="K495" s="20"/>
      <c r="L495" s="20"/>
    </row>
    <row r="496" spans="1:12">
      <c r="A496" s="53"/>
      <c r="B496" s="20"/>
      <c r="D496" s="20"/>
      <c r="E496" s="20"/>
      <c r="F496" s="20"/>
      <c r="G496" s="20"/>
      <c r="H496" s="284"/>
      <c r="I496" s="20"/>
      <c r="J496" s="57"/>
      <c r="K496" s="20"/>
      <c r="L496" s="20"/>
    </row>
    <row r="497" spans="1:12">
      <c r="A497" s="53"/>
      <c r="B497" s="20"/>
      <c r="D497" s="20"/>
      <c r="E497" s="20"/>
      <c r="F497" s="20"/>
      <c r="G497" s="20"/>
      <c r="H497" s="284"/>
      <c r="I497" s="20"/>
      <c r="J497" s="57"/>
      <c r="K497" s="20"/>
      <c r="L497" s="20"/>
    </row>
    <row r="498" spans="1:12">
      <c r="A498" s="53"/>
      <c r="B498" s="20"/>
      <c r="D498" s="20"/>
      <c r="E498" s="20"/>
      <c r="F498" s="20"/>
      <c r="G498" s="20"/>
      <c r="H498" s="284"/>
      <c r="I498" s="20"/>
      <c r="J498" s="57"/>
      <c r="K498" s="20"/>
      <c r="L498" s="20"/>
    </row>
    <row r="499" spans="1:12">
      <c r="A499" s="53"/>
      <c r="B499" s="20"/>
      <c r="D499" s="20"/>
      <c r="E499" s="20"/>
      <c r="F499" s="20"/>
      <c r="G499" s="20"/>
      <c r="H499" s="284"/>
      <c r="I499" s="20"/>
      <c r="J499" s="57"/>
      <c r="K499" s="20"/>
      <c r="L499" s="20"/>
    </row>
    <row r="500" spans="1:12">
      <c r="A500" s="53"/>
      <c r="B500" s="20"/>
      <c r="D500" s="20"/>
      <c r="E500" s="20"/>
      <c r="F500" s="20"/>
      <c r="G500" s="20"/>
      <c r="H500" s="284"/>
      <c r="I500" s="20"/>
      <c r="J500" s="57"/>
      <c r="K500" s="20"/>
      <c r="L500" s="20"/>
    </row>
    <row r="501" spans="1:12">
      <c r="A501" s="53"/>
      <c r="B501" s="20"/>
      <c r="D501" s="20"/>
      <c r="E501" s="20"/>
      <c r="F501" s="20"/>
      <c r="G501" s="20"/>
      <c r="H501" s="284"/>
      <c r="I501" s="20"/>
      <c r="J501" s="57"/>
      <c r="K501" s="20"/>
      <c r="L501" s="20"/>
    </row>
    <row r="502" spans="1:12">
      <c r="A502" s="53"/>
      <c r="B502" s="20"/>
      <c r="D502" s="20"/>
      <c r="E502" s="20"/>
      <c r="F502" s="20"/>
      <c r="G502" s="20"/>
      <c r="H502" s="284"/>
      <c r="I502" s="20"/>
      <c r="J502" s="57"/>
      <c r="K502" s="20"/>
      <c r="L502" s="20"/>
    </row>
    <row r="503" spans="1:12">
      <c r="A503" s="53"/>
      <c r="B503" s="20"/>
      <c r="D503" s="20"/>
      <c r="E503" s="20"/>
      <c r="F503" s="20"/>
      <c r="G503" s="20"/>
      <c r="H503" s="284"/>
      <c r="I503" s="20"/>
      <c r="J503" s="57"/>
      <c r="K503" s="20"/>
      <c r="L503" s="20"/>
    </row>
    <row r="504" spans="1:12">
      <c r="A504" s="53"/>
      <c r="B504" s="20"/>
      <c r="D504" s="20"/>
      <c r="E504" s="20"/>
      <c r="F504" s="20"/>
      <c r="G504" s="20"/>
      <c r="H504" s="284"/>
      <c r="I504" s="20"/>
      <c r="J504" s="57"/>
      <c r="K504" s="20"/>
      <c r="L504" s="20"/>
    </row>
    <row r="505" spans="1:12">
      <c r="A505" s="53"/>
      <c r="B505" s="20"/>
      <c r="D505" s="20"/>
      <c r="E505" s="20"/>
      <c r="F505" s="20"/>
      <c r="G505" s="20"/>
      <c r="H505" s="284"/>
      <c r="I505" s="20"/>
      <c r="J505" s="57"/>
      <c r="K505" s="20"/>
      <c r="L505" s="20"/>
    </row>
    <row r="506" spans="1:12">
      <c r="A506" s="53"/>
      <c r="B506" s="20"/>
      <c r="D506" s="20"/>
      <c r="E506" s="20"/>
      <c r="F506" s="20"/>
      <c r="G506" s="20"/>
      <c r="H506" s="284"/>
      <c r="I506" s="20"/>
      <c r="J506" s="57"/>
      <c r="K506" s="20"/>
      <c r="L506" s="20"/>
    </row>
    <row r="507" spans="1:12">
      <c r="A507" s="53"/>
      <c r="B507" s="20"/>
      <c r="D507" s="20"/>
      <c r="E507" s="20"/>
      <c r="F507" s="20"/>
      <c r="G507" s="20"/>
      <c r="H507" s="284"/>
      <c r="I507" s="20"/>
      <c r="J507" s="57"/>
      <c r="K507" s="20"/>
      <c r="L507" s="20"/>
    </row>
    <row r="508" spans="1:12">
      <c r="A508" s="53"/>
      <c r="B508" s="20"/>
      <c r="D508" s="20"/>
      <c r="E508" s="20"/>
      <c r="F508" s="20"/>
      <c r="G508" s="20"/>
      <c r="H508" s="284"/>
      <c r="I508" s="20"/>
      <c r="J508" s="57"/>
      <c r="K508" s="20"/>
      <c r="L508" s="20"/>
    </row>
    <row r="509" spans="1:12">
      <c r="A509" s="53"/>
      <c r="B509" s="20"/>
      <c r="D509" s="20"/>
      <c r="E509" s="20"/>
      <c r="F509" s="20"/>
      <c r="G509" s="20"/>
      <c r="H509" s="284"/>
      <c r="I509" s="20"/>
      <c r="J509" s="57"/>
      <c r="K509" s="20"/>
      <c r="L509" s="20"/>
    </row>
    <row r="510" spans="1:12">
      <c r="A510" s="53"/>
      <c r="B510" s="20"/>
      <c r="D510" s="20"/>
      <c r="E510" s="20"/>
      <c r="F510" s="20"/>
      <c r="G510" s="20"/>
      <c r="H510" s="284"/>
      <c r="I510" s="20"/>
      <c r="J510" s="57"/>
      <c r="K510" s="20"/>
      <c r="L510" s="20"/>
    </row>
    <row r="511" spans="1:12">
      <c r="A511" s="53"/>
      <c r="B511" s="20"/>
      <c r="D511" s="20"/>
      <c r="E511" s="20"/>
      <c r="F511" s="20"/>
      <c r="G511" s="20"/>
      <c r="H511" s="284"/>
      <c r="I511" s="20"/>
      <c r="J511" s="57"/>
      <c r="K511" s="20"/>
      <c r="L511" s="20"/>
    </row>
    <row r="512" spans="1:12">
      <c r="A512" s="53"/>
      <c r="B512" s="20"/>
      <c r="D512" s="20"/>
      <c r="E512" s="20"/>
      <c r="F512" s="20"/>
      <c r="G512" s="20"/>
      <c r="H512" s="284"/>
      <c r="I512" s="20"/>
      <c r="J512" s="57"/>
      <c r="K512" s="20"/>
      <c r="L512" s="20"/>
    </row>
    <row r="513" spans="1:12">
      <c r="A513" s="53"/>
      <c r="B513" s="20"/>
      <c r="D513" s="20"/>
      <c r="E513" s="20"/>
      <c r="F513" s="20"/>
      <c r="G513" s="20"/>
      <c r="H513" s="284"/>
      <c r="I513" s="20"/>
      <c r="J513" s="57"/>
      <c r="K513" s="20"/>
      <c r="L513" s="20"/>
    </row>
    <row r="514" spans="1:12">
      <c r="A514" s="53"/>
      <c r="B514" s="20"/>
      <c r="D514" s="20"/>
      <c r="E514" s="20"/>
      <c r="F514" s="20"/>
      <c r="G514" s="20"/>
      <c r="H514" s="284"/>
      <c r="I514" s="20"/>
      <c r="J514" s="57"/>
      <c r="K514" s="20"/>
      <c r="L514" s="20"/>
    </row>
    <row r="515" spans="1:12">
      <c r="A515" s="53"/>
      <c r="B515" s="20"/>
      <c r="D515" s="20"/>
      <c r="E515" s="20"/>
      <c r="F515" s="20"/>
      <c r="G515" s="20"/>
      <c r="H515" s="284"/>
      <c r="I515" s="20"/>
      <c r="J515" s="57"/>
      <c r="K515" s="20"/>
      <c r="L515" s="20"/>
    </row>
    <row r="516" spans="1:12">
      <c r="A516" s="53"/>
      <c r="B516" s="20"/>
      <c r="D516" s="20"/>
      <c r="E516" s="20"/>
      <c r="F516" s="20"/>
      <c r="G516" s="20"/>
      <c r="H516" s="284"/>
      <c r="I516" s="20"/>
      <c r="J516" s="57"/>
      <c r="K516" s="20"/>
      <c r="L516" s="20"/>
    </row>
    <row r="517" spans="1:12">
      <c r="A517" s="53"/>
      <c r="B517" s="20"/>
      <c r="D517" s="20"/>
      <c r="E517" s="20"/>
      <c r="F517" s="20"/>
      <c r="G517" s="20"/>
      <c r="H517" s="284"/>
      <c r="I517" s="20"/>
      <c r="J517" s="57"/>
      <c r="K517" s="20"/>
      <c r="L517" s="20"/>
    </row>
    <row r="518" spans="1:12">
      <c r="A518" s="53"/>
      <c r="B518" s="20"/>
      <c r="D518" s="20"/>
      <c r="E518" s="20"/>
      <c r="F518" s="20"/>
      <c r="G518" s="20"/>
      <c r="H518" s="284"/>
      <c r="I518" s="20"/>
      <c r="J518" s="57"/>
      <c r="K518" s="20"/>
      <c r="L518" s="20"/>
    </row>
    <row r="519" spans="1:12">
      <c r="A519" s="53"/>
      <c r="B519" s="20"/>
      <c r="D519" s="20"/>
      <c r="E519" s="20"/>
      <c r="F519" s="20"/>
      <c r="G519" s="20"/>
      <c r="H519" s="284"/>
      <c r="I519" s="20"/>
      <c r="J519" s="57"/>
      <c r="K519" s="20"/>
      <c r="L519" s="20"/>
    </row>
    <row r="520" spans="1:12">
      <c r="A520" s="53"/>
      <c r="B520" s="20"/>
      <c r="D520" s="20"/>
      <c r="E520" s="20"/>
      <c r="F520" s="20"/>
      <c r="G520" s="20"/>
      <c r="H520" s="284"/>
      <c r="I520" s="20"/>
      <c r="J520" s="57"/>
      <c r="K520" s="20"/>
      <c r="L520" s="20"/>
    </row>
    <row r="521" spans="1:12">
      <c r="A521" s="53"/>
      <c r="B521" s="20"/>
      <c r="D521" s="20"/>
      <c r="E521" s="20"/>
      <c r="F521" s="20"/>
      <c r="G521" s="20"/>
      <c r="H521" s="284"/>
      <c r="I521" s="20"/>
      <c r="J521" s="57"/>
      <c r="K521" s="20"/>
      <c r="L521" s="20"/>
    </row>
    <row r="522" spans="1:12">
      <c r="A522" s="53"/>
      <c r="B522" s="20"/>
      <c r="D522" s="20"/>
      <c r="E522" s="20"/>
      <c r="F522" s="20"/>
      <c r="G522" s="20"/>
      <c r="H522" s="284"/>
      <c r="I522" s="20"/>
      <c r="J522" s="57"/>
      <c r="K522" s="20"/>
      <c r="L522" s="20"/>
    </row>
    <row r="523" spans="1:12">
      <c r="A523" s="53"/>
      <c r="B523" s="20"/>
      <c r="D523" s="20"/>
      <c r="E523" s="20">
        <f>116+64+6</f>
        <v>186</v>
      </c>
      <c r="F523" s="20"/>
      <c r="G523" s="20"/>
      <c r="H523" s="284"/>
      <c r="I523" s="20"/>
      <c r="J523" s="57"/>
      <c r="K523" s="20"/>
      <c r="L523" s="20"/>
    </row>
    <row r="524" spans="1:12">
      <c r="A524" s="53"/>
      <c r="B524" s="20"/>
      <c r="D524" s="20"/>
      <c r="E524" s="20"/>
      <c r="F524" s="20"/>
      <c r="G524" s="20"/>
      <c r="H524" s="284"/>
      <c r="I524" s="20"/>
      <c r="J524" s="57"/>
      <c r="K524" s="20"/>
      <c r="L524" s="20"/>
    </row>
    <row r="525" spans="1:12">
      <c r="A525" s="53"/>
      <c r="B525" s="20"/>
      <c r="D525" s="20"/>
      <c r="E525" s="20"/>
      <c r="F525" s="20"/>
      <c r="G525" s="20"/>
      <c r="H525" s="284"/>
      <c r="I525" s="20"/>
      <c r="J525" s="57"/>
      <c r="K525" s="20"/>
      <c r="L525" s="20"/>
    </row>
    <row r="526" spans="1:12">
      <c r="A526" s="53"/>
      <c r="B526" s="20"/>
      <c r="D526" s="20"/>
      <c r="E526" s="20"/>
      <c r="F526" s="20"/>
      <c r="G526" s="20"/>
      <c r="H526" s="284"/>
      <c r="I526" s="20"/>
      <c r="J526" s="57"/>
      <c r="K526" s="20"/>
      <c r="L526" s="20"/>
    </row>
    <row r="527" spans="1:12">
      <c r="A527" s="53"/>
      <c r="B527" s="20"/>
      <c r="D527" s="20"/>
      <c r="E527" s="20"/>
      <c r="F527" s="20"/>
      <c r="G527" s="20"/>
      <c r="H527" s="284"/>
      <c r="I527" s="20"/>
      <c r="J527" s="57"/>
      <c r="K527" s="20"/>
      <c r="L527" s="20"/>
    </row>
    <row r="528" spans="1:12">
      <c r="A528" s="53"/>
      <c r="B528" s="20"/>
      <c r="D528" s="20"/>
      <c r="E528" s="20"/>
      <c r="F528" s="20"/>
      <c r="G528" s="20"/>
      <c r="H528" s="284"/>
      <c r="I528" s="20"/>
      <c r="J528" s="57"/>
      <c r="K528" s="20"/>
      <c r="L528" s="20"/>
    </row>
    <row r="529" spans="1:14">
      <c r="A529" s="53"/>
      <c r="B529" s="20"/>
      <c r="D529" s="20"/>
      <c r="E529" s="20"/>
      <c r="F529" s="20"/>
      <c r="G529" s="20"/>
      <c r="H529" s="284"/>
      <c r="I529" s="20"/>
      <c r="J529" s="57"/>
      <c r="K529" s="20"/>
      <c r="L529" s="20"/>
    </row>
    <row r="530" spans="1:14">
      <c r="A530" s="53"/>
      <c r="B530" s="20"/>
      <c r="D530" s="20"/>
      <c r="E530" s="20"/>
      <c r="F530" s="20"/>
      <c r="G530" s="20"/>
      <c r="H530" s="284"/>
      <c r="I530" s="20"/>
      <c r="J530" s="57"/>
      <c r="K530" s="20"/>
      <c r="L530" s="20"/>
    </row>
    <row r="531" spans="1:14">
      <c r="A531" s="53"/>
      <c r="B531" s="20"/>
      <c r="D531" s="20"/>
      <c r="E531" s="20"/>
      <c r="F531" s="20"/>
      <c r="G531" s="20"/>
      <c r="H531" s="284"/>
      <c r="I531" s="20"/>
      <c r="J531" s="57"/>
      <c r="K531" s="20"/>
      <c r="L531" s="20"/>
    </row>
    <row r="532" spans="1:14">
      <c r="A532" s="53"/>
      <c r="B532" s="20"/>
      <c r="D532" s="20"/>
      <c r="E532" s="20"/>
      <c r="F532" s="20"/>
      <c r="G532" s="20"/>
      <c r="H532" s="284"/>
      <c r="I532" s="20"/>
      <c r="J532" s="57"/>
      <c r="K532" s="20"/>
      <c r="L532" s="20"/>
    </row>
    <row r="533" spans="1:14" ht="38.25">
      <c r="A533" s="53"/>
      <c r="B533" s="60" t="s">
        <v>109</v>
      </c>
      <c r="D533" s="20"/>
      <c r="E533" s="20">
        <v>150</v>
      </c>
      <c r="F533" s="20"/>
      <c r="G533" s="20"/>
      <c r="H533" s="284"/>
      <c r="I533" s="20"/>
      <c r="J533" s="57"/>
      <c r="K533" s="20"/>
      <c r="L533" s="20"/>
    </row>
    <row r="534" spans="1:14" ht="27">
      <c r="A534" s="53"/>
      <c r="B534" s="20" t="s">
        <v>110</v>
      </c>
      <c r="D534" s="20"/>
      <c r="E534" s="20">
        <v>240</v>
      </c>
      <c r="F534" s="20"/>
      <c r="G534" s="20"/>
      <c r="H534" s="284"/>
      <c r="I534" s="20"/>
      <c r="J534" s="57"/>
      <c r="K534" s="20"/>
      <c r="L534" s="20"/>
    </row>
    <row r="535" spans="1:14">
      <c r="A535" s="53"/>
      <c r="B535" s="20"/>
      <c r="D535" s="20"/>
      <c r="E535" s="20"/>
      <c r="F535" s="20"/>
      <c r="G535" s="20"/>
      <c r="H535" s="284"/>
      <c r="I535" s="20"/>
      <c r="J535" s="57"/>
      <c r="K535" s="20"/>
      <c r="L535" s="20"/>
    </row>
    <row r="536" spans="1:14" s="3" customFormat="1" ht="39.75">
      <c r="A536" s="53"/>
      <c r="B536" s="61" t="s">
        <v>111</v>
      </c>
      <c r="C536" s="61"/>
      <c r="D536" s="61"/>
      <c r="E536" s="61">
        <v>19.559999999999999</v>
      </c>
      <c r="F536" s="61"/>
      <c r="G536" s="61"/>
      <c r="H536" s="286"/>
      <c r="I536" s="61"/>
      <c r="J536" s="62"/>
      <c r="K536" s="61"/>
      <c r="L536" s="61"/>
      <c r="M536" s="71"/>
      <c r="N536" s="71"/>
    </row>
    <row r="537" spans="1:14">
      <c r="A537" s="53"/>
      <c r="B537" s="20"/>
      <c r="D537" s="20"/>
      <c r="E537" s="20"/>
      <c r="F537" s="20"/>
      <c r="G537" s="20"/>
      <c r="H537" s="284"/>
      <c r="I537" s="20"/>
      <c r="J537" s="57"/>
      <c r="K537" s="20"/>
      <c r="L537" s="20"/>
    </row>
    <row r="538" spans="1:14">
      <c r="A538" s="53"/>
      <c r="B538" s="20"/>
      <c r="D538" s="20"/>
      <c r="E538" s="20"/>
      <c r="F538" s="20"/>
      <c r="G538" s="20"/>
      <c r="H538" s="284"/>
      <c r="I538" s="20"/>
      <c r="J538" s="57"/>
      <c r="K538" s="20"/>
      <c r="L538" s="20"/>
    </row>
    <row r="539" spans="1:14">
      <c r="A539" s="53"/>
      <c r="B539" s="20"/>
      <c r="D539" s="20"/>
      <c r="E539" s="20"/>
      <c r="F539" s="20"/>
      <c r="G539" s="20"/>
      <c r="H539" s="284"/>
      <c r="I539" s="20"/>
      <c r="J539" s="57"/>
      <c r="K539" s="20"/>
      <c r="L539" s="20"/>
    </row>
    <row r="540" spans="1:14">
      <c r="A540" s="53"/>
      <c r="B540" s="20" t="s">
        <v>99</v>
      </c>
      <c r="D540" s="20"/>
      <c r="E540" s="20"/>
      <c r="F540" s="20"/>
      <c r="G540" s="20"/>
      <c r="H540" s="284"/>
      <c r="I540" s="20"/>
      <c r="J540" s="57"/>
      <c r="K540" s="20"/>
      <c r="L540" s="20"/>
    </row>
    <row r="541" spans="1:14">
      <c r="A541" s="53"/>
      <c r="B541" s="20"/>
      <c r="D541" s="20"/>
      <c r="E541" s="20"/>
      <c r="F541" s="20"/>
      <c r="G541" s="20"/>
      <c r="H541" s="284"/>
      <c r="I541" s="20"/>
      <c r="J541" s="57"/>
      <c r="K541" s="20"/>
      <c r="L541" s="20"/>
    </row>
    <row r="542" spans="1:14" ht="27">
      <c r="A542" s="53"/>
      <c r="B542" s="20" t="s">
        <v>112</v>
      </c>
      <c r="D542" s="20"/>
      <c r="E542" s="20">
        <v>210</v>
      </c>
      <c r="F542" s="20"/>
      <c r="G542" s="20"/>
      <c r="H542" s="284"/>
      <c r="I542" s="20"/>
      <c r="J542" s="57"/>
      <c r="K542" s="20"/>
      <c r="L542" s="20"/>
    </row>
    <row r="543" spans="1:14">
      <c r="A543" s="53"/>
      <c r="B543" s="20"/>
      <c r="D543" s="20"/>
      <c r="E543" s="20"/>
      <c r="F543" s="20"/>
      <c r="G543" s="20"/>
      <c r="H543" s="284"/>
      <c r="I543" s="20"/>
      <c r="J543" s="57"/>
      <c r="K543" s="20"/>
      <c r="L543" s="20"/>
    </row>
    <row r="544" spans="1:14">
      <c r="A544" s="53"/>
      <c r="B544" s="20"/>
      <c r="D544" s="20"/>
      <c r="E544" s="20"/>
      <c r="F544" s="20"/>
      <c r="G544" s="20"/>
      <c r="H544" s="284"/>
      <c r="I544" s="20"/>
      <c r="J544" s="57"/>
      <c r="K544" s="20"/>
      <c r="L544" s="20"/>
    </row>
    <row r="545" spans="1:12">
      <c r="A545" s="53"/>
      <c r="B545" s="20"/>
      <c r="D545" s="20"/>
      <c r="E545" s="20"/>
      <c r="F545" s="20"/>
      <c r="G545" s="20"/>
      <c r="H545" s="284"/>
      <c r="I545" s="20"/>
      <c r="J545" s="57"/>
      <c r="K545" s="20"/>
      <c r="L545" s="20"/>
    </row>
    <row r="546" spans="1:12">
      <c r="A546" s="53"/>
      <c r="B546" s="20"/>
      <c r="D546" s="20"/>
      <c r="E546" s="20"/>
      <c r="F546" s="20"/>
      <c r="G546" s="20"/>
      <c r="H546" s="284"/>
      <c r="I546" s="20"/>
      <c r="J546" s="57"/>
      <c r="K546" s="20"/>
      <c r="L546" s="20"/>
    </row>
    <row r="547" spans="1:12">
      <c r="A547" s="53"/>
      <c r="B547" s="20"/>
      <c r="D547" s="20"/>
      <c r="E547" s="20"/>
      <c r="F547" s="20"/>
      <c r="G547" s="20"/>
      <c r="H547" s="284"/>
      <c r="I547" s="20"/>
      <c r="J547" s="57"/>
      <c r="K547" s="20"/>
      <c r="L547" s="20"/>
    </row>
    <row r="548" spans="1:12">
      <c r="A548" s="53"/>
      <c r="B548" s="20"/>
      <c r="D548" s="20"/>
      <c r="E548" s="20"/>
      <c r="F548" s="20"/>
      <c r="G548" s="20"/>
      <c r="H548" s="284"/>
      <c r="I548" s="20"/>
      <c r="J548" s="57"/>
      <c r="K548" s="20"/>
      <c r="L548" s="20"/>
    </row>
    <row r="549" spans="1:12">
      <c r="A549" s="53"/>
      <c r="B549" s="20"/>
      <c r="D549" s="20"/>
      <c r="E549" s="20"/>
      <c r="F549" s="20"/>
      <c r="G549" s="20"/>
      <c r="H549" s="284"/>
      <c r="I549" s="20"/>
      <c r="J549" s="57"/>
      <c r="K549" s="20"/>
      <c r="L549" s="20"/>
    </row>
    <row r="550" spans="1:12">
      <c r="A550" s="53"/>
      <c r="B550" s="20"/>
      <c r="D550" s="20"/>
      <c r="E550" s="20"/>
      <c r="F550" s="20"/>
      <c r="G550" s="20"/>
      <c r="H550" s="284"/>
      <c r="I550" s="20"/>
      <c r="J550" s="57"/>
      <c r="K550" s="20"/>
      <c r="L550" s="20"/>
    </row>
    <row r="551" spans="1:12">
      <c r="A551" s="53"/>
      <c r="B551" s="20"/>
      <c r="D551" s="20"/>
      <c r="E551" s="20"/>
      <c r="F551" s="20"/>
      <c r="G551" s="20"/>
      <c r="H551" s="284"/>
      <c r="I551" s="20"/>
      <c r="J551" s="57"/>
      <c r="K551" s="20"/>
      <c r="L551" s="20"/>
    </row>
    <row r="552" spans="1:12">
      <c r="A552" s="53"/>
      <c r="B552" s="20"/>
      <c r="D552" s="20"/>
      <c r="E552" s="20"/>
      <c r="F552" s="20"/>
      <c r="G552" s="20"/>
      <c r="H552" s="284"/>
      <c r="I552" s="20"/>
      <c r="J552" s="57"/>
      <c r="K552" s="20"/>
      <c r="L552" s="20"/>
    </row>
    <row r="553" spans="1:12">
      <c r="A553" s="53"/>
      <c r="B553" s="20"/>
      <c r="D553" s="20"/>
      <c r="E553" s="20"/>
      <c r="F553" s="20"/>
      <c r="G553" s="20"/>
      <c r="H553" s="284"/>
      <c r="I553" s="20"/>
      <c r="J553" s="57"/>
      <c r="K553" s="20"/>
      <c r="L553" s="20"/>
    </row>
    <row r="554" spans="1:12">
      <c r="A554" s="53"/>
      <c r="B554" s="20"/>
      <c r="D554" s="20"/>
      <c r="E554" s="20"/>
      <c r="F554" s="20"/>
      <c r="G554" s="20"/>
      <c r="H554" s="284"/>
      <c r="I554" s="20"/>
      <c r="J554" s="57"/>
      <c r="K554" s="20"/>
      <c r="L554" s="20"/>
    </row>
    <row r="555" spans="1:12">
      <c r="A555" s="53"/>
      <c r="B555" s="20"/>
      <c r="D555" s="20"/>
      <c r="E555" s="20"/>
      <c r="F555" s="20"/>
      <c r="G555" s="20"/>
      <c r="H555" s="284"/>
      <c r="I555" s="20"/>
      <c r="J555" s="57"/>
      <c r="K555" s="20"/>
      <c r="L555" s="20"/>
    </row>
    <row r="556" spans="1:12">
      <c r="A556" s="53"/>
      <c r="B556" s="20"/>
      <c r="D556" s="20"/>
      <c r="E556" s="20"/>
      <c r="F556" s="20"/>
      <c r="G556" s="20"/>
      <c r="H556" s="284"/>
      <c r="I556" s="20"/>
      <c r="J556" s="57"/>
      <c r="K556" s="20"/>
      <c r="L556" s="20"/>
    </row>
    <row r="557" spans="1:12">
      <c r="A557" s="53"/>
      <c r="B557" s="20"/>
      <c r="D557" s="20"/>
      <c r="E557" s="20"/>
      <c r="F557" s="20"/>
      <c r="G557" s="20"/>
      <c r="H557" s="284"/>
      <c r="I557" s="20"/>
      <c r="J557" s="57"/>
      <c r="K557" s="20"/>
      <c r="L557" s="20"/>
    </row>
    <row r="558" spans="1:12">
      <c r="A558" s="53"/>
      <c r="B558" s="20"/>
      <c r="D558" s="20"/>
      <c r="E558" s="20"/>
      <c r="F558" s="20"/>
      <c r="G558" s="20"/>
      <c r="H558" s="284"/>
      <c r="I558" s="20"/>
      <c r="J558" s="57"/>
      <c r="K558" s="20"/>
      <c r="L558" s="20"/>
    </row>
    <row r="559" spans="1:12">
      <c r="A559" s="53"/>
      <c r="B559" s="20"/>
      <c r="D559" s="20"/>
      <c r="E559" s="20"/>
      <c r="F559" s="20"/>
      <c r="G559" s="20"/>
      <c r="H559" s="284"/>
      <c r="I559" s="20"/>
      <c r="J559" s="57"/>
      <c r="K559" s="20"/>
      <c r="L559" s="20"/>
    </row>
    <row r="560" spans="1:12">
      <c r="A560" s="53"/>
      <c r="B560" s="20"/>
      <c r="D560" s="20"/>
      <c r="E560" s="20"/>
      <c r="F560" s="20"/>
      <c r="G560" s="20"/>
      <c r="H560" s="284"/>
      <c r="I560" s="20"/>
      <c r="J560" s="57"/>
      <c r="K560" s="20"/>
      <c r="L560" s="20"/>
    </row>
    <row r="561" spans="1:12">
      <c r="A561" s="53"/>
      <c r="B561" s="20"/>
      <c r="D561" s="20"/>
      <c r="E561" s="20"/>
      <c r="F561" s="20"/>
      <c r="G561" s="20"/>
      <c r="H561" s="284"/>
      <c r="I561" s="20"/>
      <c r="J561" s="57"/>
      <c r="K561" s="20"/>
      <c r="L561" s="20"/>
    </row>
    <row r="562" spans="1:12">
      <c r="A562" s="53"/>
      <c r="B562" s="20"/>
      <c r="D562" s="20"/>
      <c r="E562" s="20"/>
      <c r="F562" s="20"/>
      <c r="G562" s="20"/>
      <c r="H562" s="284"/>
      <c r="I562" s="20"/>
      <c r="J562" s="57"/>
      <c r="K562" s="20"/>
      <c r="L562" s="20"/>
    </row>
    <row r="563" spans="1:12">
      <c r="A563" s="53"/>
      <c r="B563" s="20"/>
      <c r="D563" s="20"/>
      <c r="E563" s="20"/>
      <c r="F563" s="20"/>
      <c r="G563" s="20"/>
      <c r="H563" s="284"/>
      <c r="I563" s="20"/>
      <c r="J563" s="57"/>
      <c r="K563" s="20"/>
      <c r="L563" s="20"/>
    </row>
    <row r="564" spans="1:12">
      <c r="A564" s="53"/>
      <c r="B564" s="20"/>
      <c r="D564" s="20"/>
      <c r="E564" s="20"/>
      <c r="F564" s="20"/>
      <c r="G564" s="20"/>
      <c r="H564" s="284"/>
      <c r="I564" s="20"/>
      <c r="J564" s="57"/>
      <c r="K564" s="20"/>
      <c r="L564" s="20"/>
    </row>
    <row r="565" spans="1:12">
      <c r="A565" s="53"/>
      <c r="B565" s="20"/>
      <c r="D565" s="20"/>
      <c r="E565" s="20"/>
      <c r="F565" s="20"/>
      <c r="G565" s="20"/>
      <c r="H565" s="284"/>
      <c r="I565" s="20"/>
      <c r="J565" s="57"/>
      <c r="K565" s="20"/>
      <c r="L565" s="20"/>
    </row>
    <row r="566" spans="1:12">
      <c r="A566" s="53"/>
      <c r="B566" s="20"/>
      <c r="D566" s="20"/>
      <c r="E566" s="20"/>
      <c r="F566" s="20"/>
      <c r="G566" s="20"/>
      <c r="H566" s="284"/>
      <c r="I566" s="20"/>
      <c r="J566" s="57"/>
      <c r="K566" s="20"/>
      <c r="L566" s="20"/>
    </row>
    <row r="567" spans="1:12">
      <c r="A567" s="53"/>
      <c r="B567" s="20"/>
      <c r="D567" s="20"/>
      <c r="E567" s="20"/>
      <c r="F567" s="20"/>
      <c r="G567" s="20"/>
      <c r="H567" s="284"/>
      <c r="I567" s="20"/>
      <c r="J567" s="57"/>
      <c r="K567" s="20"/>
      <c r="L567" s="20"/>
    </row>
    <row r="568" spans="1:12">
      <c r="A568" s="53"/>
      <c r="B568" s="20"/>
      <c r="D568" s="20"/>
      <c r="E568" s="20"/>
      <c r="F568" s="20"/>
      <c r="G568" s="20"/>
      <c r="H568" s="284"/>
      <c r="I568" s="20"/>
      <c r="J568" s="57"/>
      <c r="K568" s="20"/>
      <c r="L568" s="20"/>
    </row>
    <row r="569" spans="1:12">
      <c r="A569" s="53"/>
      <c r="B569" s="20"/>
      <c r="D569" s="20"/>
      <c r="E569" s="20"/>
      <c r="F569" s="20"/>
      <c r="G569" s="20"/>
      <c r="H569" s="284"/>
      <c r="I569" s="20"/>
      <c r="J569" s="57"/>
      <c r="K569" s="20"/>
      <c r="L569" s="20"/>
    </row>
    <row r="570" spans="1:12">
      <c r="A570" s="53"/>
      <c r="B570" s="20"/>
      <c r="D570" s="20"/>
      <c r="E570" s="20"/>
      <c r="F570" s="20"/>
      <c r="G570" s="20"/>
      <c r="H570" s="284"/>
      <c r="I570" s="20"/>
      <c r="J570" s="57"/>
      <c r="K570" s="20"/>
      <c r="L570" s="20"/>
    </row>
    <row r="571" spans="1:12">
      <c r="A571" s="53"/>
      <c r="B571" s="20"/>
      <c r="D571" s="20"/>
      <c r="E571" s="20"/>
      <c r="F571" s="20"/>
      <c r="G571" s="20"/>
      <c r="H571" s="284"/>
      <c r="I571" s="20"/>
      <c r="J571" s="57"/>
      <c r="K571" s="20"/>
      <c r="L571" s="20"/>
    </row>
    <row r="572" spans="1:12">
      <c r="A572" s="53"/>
      <c r="B572" s="20"/>
      <c r="D572" s="20"/>
      <c r="E572" s="20"/>
      <c r="F572" s="20"/>
      <c r="G572" s="20"/>
      <c r="H572" s="284"/>
      <c r="I572" s="20"/>
      <c r="J572" s="57"/>
      <c r="K572" s="20"/>
      <c r="L572" s="20"/>
    </row>
    <row r="573" spans="1:12">
      <c r="A573" s="53"/>
      <c r="B573" s="20"/>
      <c r="D573" s="20"/>
      <c r="E573" s="20"/>
      <c r="F573" s="20"/>
      <c r="G573" s="20"/>
      <c r="H573" s="284"/>
      <c r="I573" s="20"/>
      <c r="J573" s="57"/>
      <c r="K573" s="20"/>
      <c r="L573" s="20"/>
    </row>
    <row r="574" spans="1:12">
      <c r="A574" s="53"/>
      <c r="B574" s="20"/>
      <c r="D574" s="20"/>
      <c r="E574" s="20"/>
      <c r="F574" s="20"/>
      <c r="G574" s="20"/>
      <c r="H574" s="284"/>
      <c r="I574" s="20"/>
      <c r="J574" s="57"/>
      <c r="K574" s="20"/>
      <c r="L574" s="20"/>
    </row>
    <row r="575" spans="1:12">
      <c r="A575" s="53"/>
      <c r="B575" s="20"/>
      <c r="D575" s="20"/>
      <c r="E575" s="20"/>
      <c r="F575" s="20"/>
      <c r="G575" s="20"/>
      <c r="H575" s="284"/>
      <c r="I575" s="20"/>
      <c r="J575" s="57"/>
      <c r="K575" s="20"/>
      <c r="L575" s="20"/>
    </row>
    <row r="576" spans="1:12">
      <c r="A576" s="53"/>
      <c r="B576" s="20"/>
      <c r="D576" s="20"/>
      <c r="E576" s="20"/>
      <c r="F576" s="20"/>
      <c r="G576" s="20"/>
      <c r="H576" s="284"/>
      <c r="I576" s="20"/>
      <c r="J576" s="57"/>
      <c r="K576" s="20"/>
      <c r="L576" s="20"/>
    </row>
    <row r="577" spans="1:12">
      <c r="A577" s="53"/>
      <c r="B577" s="20"/>
      <c r="D577" s="20"/>
      <c r="E577" s="20"/>
      <c r="F577" s="20"/>
      <c r="G577" s="20"/>
      <c r="H577" s="284"/>
      <c r="I577" s="20"/>
      <c r="J577" s="57"/>
      <c r="K577" s="20"/>
      <c r="L577" s="20"/>
    </row>
    <row r="578" spans="1:12">
      <c r="A578" s="53"/>
      <c r="B578" s="20"/>
      <c r="D578" s="20"/>
      <c r="E578" s="20"/>
      <c r="F578" s="20"/>
      <c r="G578" s="20"/>
      <c r="H578" s="284"/>
      <c r="I578" s="20"/>
      <c r="J578" s="57"/>
      <c r="K578" s="20"/>
      <c r="L578" s="20"/>
    </row>
    <row r="579" spans="1:12">
      <c r="A579" s="53"/>
      <c r="B579" s="20"/>
      <c r="D579" s="20"/>
      <c r="E579" s="20"/>
      <c r="F579" s="20"/>
      <c r="G579" s="20"/>
      <c r="H579" s="284"/>
      <c r="I579" s="20"/>
      <c r="J579" s="57"/>
      <c r="K579" s="20"/>
      <c r="L579" s="20"/>
    </row>
    <row r="580" spans="1:12">
      <c r="A580" s="53"/>
      <c r="B580" s="20"/>
      <c r="D580" s="20"/>
      <c r="E580" s="20"/>
      <c r="F580" s="20"/>
      <c r="G580" s="20"/>
      <c r="H580" s="284"/>
      <c r="I580" s="20"/>
      <c r="J580" s="57"/>
      <c r="K580" s="20"/>
      <c r="L580" s="20"/>
    </row>
    <row r="581" spans="1:12">
      <c r="A581" s="53"/>
      <c r="B581" s="20"/>
      <c r="D581" s="20"/>
      <c r="E581" s="20"/>
      <c r="F581" s="20"/>
      <c r="G581" s="20"/>
      <c r="H581" s="284"/>
      <c r="I581" s="20"/>
      <c r="J581" s="57"/>
      <c r="K581" s="20"/>
      <c r="L581" s="20"/>
    </row>
    <row r="582" spans="1:12">
      <c r="A582" s="53"/>
      <c r="B582" s="20"/>
      <c r="D582" s="20"/>
      <c r="E582" s="20"/>
      <c r="F582" s="20"/>
      <c r="G582" s="20"/>
      <c r="H582" s="284"/>
      <c r="I582" s="20"/>
      <c r="J582" s="57"/>
      <c r="K582" s="20"/>
      <c r="L582" s="20"/>
    </row>
    <row r="583" spans="1:12">
      <c r="A583" s="53"/>
      <c r="B583" s="20"/>
      <c r="D583" s="20"/>
      <c r="E583" s="20"/>
      <c r="F583" s="20"/>
      <c r="G583" s="20"/>
      <c r="H583" s="284"/>
      <c r="I583" s="20"/>
      <c r="J583" s="57"/>
      <c r="K583" s="20"/>
      <c r="L583" s="20"/>
    </row>
    <row r="584" spans="1:12">
      <c r="A584" s="53"/>
      <c r="B584" s="20"/>
      <c r="D584" s="20"/>
      <c r="E584" s="20"/>
      <c r="F584" s="20"/>
      <c r="G584" s="20"/>
      <c r="H584" s="284"/>
      <c r="I584" s="20"/>
      <c r="J584" s="57"/>
      <c r="K584" s="20"/>
      <c r="L584" s="20"/>
    </row>
    <row r="585" spans="1:12">
      <c r="A585" s="53"/>
      <c r="B585" s="20"/>
      <c r="D585" s="20"/>
      <c r="E585" s="20"/>
      <c r="F585" s="20"/>
      <c r="G585" s="20"/>
      <c r="H585" s="284"/>
      <c r="I585" s="20"/>
      <c r="J585" s="57"/>
      <c r="K585" s="20"/>
      <c r="L585" s="20"/>
    </row>
    <row r="586" spans="1:12">
      <c r="A586" s="53"/>
      <c r="B586" s="20"/>
      <c r="D586" s="20"/>
      <c r="E586" s="20"/>
      <c r="F586" s="20"/>
      <c r="G586" s="20"/>
      <c r="H586" s="284"/>
      <c r="I586" s="20"/>
      <c r="J586" s="57"/>
      <c r="K586" s="20"/>
      <c r="L586" s="20"/>
    </row>
    <row r="587" spans="1:12">
      <c r="A587" s="53"/>
      <c r="B587" s="20"/>
      <c r="D587" s="20"/>
      <c r="E587" s="20"/>
      <c r="F587" s="20"/>
      <c r="G587" s="20"/>
      <c r="H587" s="284"/>
      <c r="I587" s="20"/>
      <c r="J587" s="57"/>
      <c r="K587" s="20"/>
      <c r="L587" s="20"/>
    </row>
    <row r="588" spans="1:12">
      <c r="A588" s="53"/>
      <c r="B588" s="20"/>
      <c r="D588" s="20"/>
      <c r="E588" s="20"/>
      <c r="F588" s="20"/>
      <c r="G588" s="20"/>
      <c r="H588" s="284"/>
      <c r="I588" s="20"/>
      <c r="J588" s="57"/>
      <c r="K588" s="20"/>
      <c r="L588" s="20"/>
    </row>
    <row r="589" spans="1:12">
      <c r="A589" s="53"/>
      <c r="B589" s="20"/>
      <c r="D589" s="20"/>
      <c r="E589" s="20"/>
      <c r="F589" s="20"/>
      <c r="G589" s="20"/>
      <c r="H589" s="284"/>
      <c r="I589" s="20"/>
      <c r="J589" s="57"/>
      <c r="K589" s="20"/>
      <c r="L589" s="20"/>
    </row>
    <row r="590" spans="1:12">
      <c r="A590" s="53"/>
      <c r="B590" s="20"/>
      <c r="D590" s="20"/>
      <c r="E590" s="20"/>
      <c r="F590" s="20"/>
      <c r="G590" s="20"/>
      <c r="H590" s="284"/>
      <c r="I590" s="20"/>
      <c r="J590" s="57"/>
      <c r="K590" s="20"/>
      <c r="L590" s="20"/>
    </row>
    <row r="591" spans="1:12">
      <c r="A591" s="53"/>
      <c r="B591" s="20"/>
      <c r="D591" s="20"/>
      <c r="E591" s="20"/>
      <c r="F591" s="20"/>
      <c r="G591" s="20"/>
      <c r="H591" s="284"/>
      <c r="I591" s="20"/>
      <c r="J591" s="57"/>
      <c r="K591" s="20"/>
      <c r="L591" s="20"/>
    </row>
    <row r="592" spans="1:12">
      <c r="A592" s="53"/>
      <c r="B592" s="20"/>
      <c r="D592" s="20"/>
      <c r="E592" s="20"/>
      <c r="F592" s="20"/>
      <c r="G592" s="20"/>
      <c r="H592" s="284"/>
      <c r="I592" s="20"/>
      <c r="J592" s="57"/>
      <c r="K592" s="20"/>
      <c r="L592" s="20"/>
    </row>
    <row r="593" spans="1:12">
      <c r="A593" s="53"/>
      <c r="B593" s="20"/>
      <c r="D593" s="20"/>
      <c r="E593" s="20"/>
      <c r="F593" s="20"/>
      <c r="G593" s="20"/>
      <c r="H593" s="284"/>
      <c r="I593" s="20"/>
      <c r="J593" s="57"/>
      <c r="K593" s="20"/>
      <c r="L593" s="20"/>
    </row>
    <row r="594" spans="1:12">
      <c r="A594" s="53"/>
      <c r="B594" s="20"/>
      <c r="D594" s="20"/>
      <c r="E594" s="20"/>
      <c r="F594" s="20"/>
      <c r="G594" s="20"/>
      <c r="H594" s="284"/>
      <c r="I594" s="20"/>
      <c r="J594" s="57"/>
      <c r="K594" s="20"/>
      <c r="L594" s="20"/>
    </row>
    <row r="595" spans="1:12">
      <c r="A595" s="53"/>
      <c r="B595" s="20"/>
      <c r="D595" s="20"/>
      <c r="E595" s="20"/>
      <c r="F595" s="20"/>
      <c r="G595" s="20"/>
      <c r="H595" s="284"/>
      <c r="I595" s="20"/>
      <c r="J595" s="57"/>
      <c r="K595" s="20"/>
      <c r="L595" s="20"/>
    </row>
    <row r="596" spans="1:12">
      <c r="A596" s="53"/>
      <c r="B596" s="20"/>
      <c r="D596" s="20"/>
      <c r="E596" s="20"/>
      <c r="F596" s="20"/>
      <c r="G596" s="20"/>
      <c r="H596" s="284"/>
      <c r="I596" s="20"/>
      <c r="J596" s="57"/>
      <c r="K596" s="20"/>
      <c r="L596" s="20"/>
    </row>
    <row r="597" spans="1:12">
      <c r="A597" s="53"/>
      <c r="B597" s="20"/>
      <c r="D597" s="20"/>
      <c r="E597" s="20"/>
      <c r="F597" s="20"/>
      <c r="G597" s="20"/>
      <c r="H597" s="284"/>
      <c r="I597" s="20"/>
      <c r="J597" s="57"/>
      <c r="K597" s="20"/>
      <c r="L597" s="20"/>
    </row>
    <row r="598" spans="1:12">
      <c r="A598" s="53"/>
      <c r="B598" s="20"/>
      <c r="D598" s="20"/>
      <c r="E598" s="20"/>
      <c r="F598" s="20"/>
      <c r="G598" s="20"/>
      <c r="H598" s="284"/>
      <c r="I598" s="20"/>
      <c r="J598" s="57"/>
      <c r="K598" s="20"/>
      <c r="L598" s="20"/>
    </row>
    <row r="599" spans="1:12">
      <c r="A599" s="53"/>
      <c r="B599" s="20"/>
      <c r="D599" s="20"/>
      <c r="E599" s="20"/>
      <c r="F599" s="20"/>
      <c r="G599" s="20"/>
      <c r="H599" s="284"/>
      <c r="I599" s="20"/>
      <c r="J599" s="57"/>
      <c r="K599" s="20"/>
      <c r="L599" s="20"/>
    </row>
    <row r="600" spans="1:12">
      <c r="A600" s="53"/>
      <c r="B600" s="20"/>
      <c r="D600" s="20"/>
      <c r="E600" s="20"/>
      <c r="F600" s="20"/>
      <c r="G600" s="20"/>
      <c r="H600" s="284"/>
      <c r="I600" s="20"/>
      <c r="J600" s="57"/>
      <c r="K600" s="20"/>
      <c r="L600" s="20"/>
    </row>
    <row r="601" spans="1:12">
      <c r="A601" s="53"/>
      <c r="B601" s="20"/>
      <c r="D601" s="20"/>
      <c r="E601" s="20"/>
      <c r="F601" s="20"/>
      <c r="G601" s="20"/>
      <c r="H601" s="284"/>
      <c r="I601" s="20"/>
      <c r="J601" s="57"/>
      <c r="K601" s="20"/>
      <c r="L601" s="20"/>
    </row>
    <row r="602" spans="1:12">
      <c r="A602" s="53"/>
      <c r="B602" s="20"/>
      <c r="D602" s="20"/>
      <c r="E602" s="20"/>
      <c r="F602" s="20"/>
      <c r="G602" s="20"/>
      <c r="H602" s="284"/>
      <c r="I602" s="20"/>
      <c r="J602" s="57"/>
      <c r="K602" s="20"/>
      <c r="L602" s="20"/>
    </row>
    <row r="603" spans="1:12">
      <c r="A603" s="53"/>
      <c r="B603" s="20"/>
      <c r="D603" s="20"/>
      <c r="E603" s="20"/>
      <c r="F603" s="20"/>
      <c r="G603" s="20"/>
      <c r="H603" s="284"/>
      <c r="I603" s="20"/>
      <c r="J603" s="57"/>
      <c r="K603" s="20"/>
      <c r="L603" s="20"/>
    </row>
    <row r="604" spans="1:12">
      <c r="A604" s="53"/>
      <c r="B604" s="20"/>
      <c r="D604" s="20"/>
      <c r="E604" s="20"/>
      <c r="F604" s="20"/>
      <c r="G604" s="20"/>
      <c r="H604" s="284"/>
      <c r="I604" s="20"/>
      <c r="J604" s="57"/>
      <c r="K604" s="20"/>
      <c r="L604" s="20"/>
    </row>
    <row r="605" spans="1:12">
      <c r="A605" s="53"/>
      <c r="B605" s="20"/>
      <c r="D605" s="20"/>
      <c r="E605" s="20"/>
      <c r="F605" s="20"/>
      <c r="G605" s="20"/>
      <c r="H605" s="284"/>
      <c r="I605" s="20"/>
      <c r="J605" s="57"/>
      <c r="K605" s="20"/>
      <c r="L605" s="20"/>
    </row>
    <row r="606" spans="1:12">
      <c r="A606" s="53"/>
      <c r="B606" s="20"/>
      <c r="D606" s="20"/>
      <c r="E606" s="20"/>
      <c r="F606" s="20"/>
      <c r="G606" s="20"/>
      <c r="H606" s="284"/>
      <c r="I606" s="20"/>
      <c r="J606" s="57"/>
      <c r="K606" s="20"/>
      <c r="L606" s="20"/>
    </row>
    <row r="607" spans="1:12">
      <c r="A607" s="53"/>
      <c r="B607" s="20"/>
      <c r="D607" s="20"/>
      <c r="E607" s="20"/>
      <c r="F607" s="20"/>
      <c r="G607" s="20"/>
      <c r="H607" s="284"/>
      <c r="I607" s="20"/>
      <c r="J607" s="57"/>
      <c r="K607" s="20"/>
      <c r="L607" s="20"/>
    </row>
    <row r="608" spans="1:12">
      <c r="A608" s="53"/>
      <c r="B608" s="20"/>
      <c r="D608" s="20"/>
      <c r="E608" s="20"/>
      <c r="F608" s="20"/>
      <c r="G608" s="20"/>
      <c r="H608" s="284"/>
      <c r="I608" s="20"/>
      <c r="J608" s="57"/>
      <c r="K608" s="20"/>
      <c r="L608" s="20"/>
    </row>
    <row r="609" spans="1:12">
      <c r="A609" s="53"/>
      <c r="B609" s="20"/>
      <c r="D609" s="20"/>
      <c r="E609" s="20"/>
      <c r="F609" s="20"/>
      <c r="G609" s="20"/>
      <c r="H609" s="284"/>
      <c r="I609" s="20"/>
      <c r="J609" s="57"/>
      <c r="K609" s="20"/>
      <c r="L609" s="20"/>
    </row>
    <row r="610" spans="1:12">
      <c r="A610" s="53"/>
      <c r="B610" s="20"/>
      <c r="D610" s="20"/>
      <c r="E610" s="20"/>
      <c r="F610" s="20"/>
      <c r="G610" s="20"/>
      <c r="H610" s="284"/>
      <c r="I610" s="20"/>
      <c r="J610" s="57"/>
      <c r="K610" s="20"/>
      <c r="L610" s="20"/>
    </row>
    <row r="611" spans="1:12">
      <c r="A611" s="53"/>
      <c r="B611" s="20"/>
      <c r="D611" s="20"/>
      <c r="E611" s="20"/>
      <c r="F611" s="20"/>
      <c r="G611" s="20"/>
      <c r="H611" s="284"/>
      <c r="I611" s="20"/>
      <c r="J611" s="57"/>
      <c r="K611" s="20"/>
      <c r="L611" s="20"/>
    </row>
    <row r="612" spans="1:12">
      <c r="A612" s="53"/>
      <c r="B612" s="20"/>
      <c r="D612" s="20"/>
      <c r="E612" s="20"/>
      <c r="F612" s="20"/>
      <c r="G612" s="20"/>
      <c r="H612" s="284"/>
      <c r="I612" s="20"/>
      <c r="J612" s="57"/>
      <c r="K612" s="20"/>
      <c r="L612" s="20"/>
    </row>
    <row r="613" spans="1:12">
      <c r="A613" s="53"/>
      <c r="B613" s="20"/>
      <c r="D613" s="20"/>
      <c r="E613" s="20"/>
      <c r="F613" s="20"/>
      <c r="G613" s="20"/>
      <c r="H613" s="284"/>
      <c r="I613" s="20"/>
      <c r="J613" s="57"/>
      <c r="K613" s="20"/>
      <c r="L613" s="20"/>
    </row>
    <row r="614" spans="1:12">
      <c r="A614" s="53"/>
      <c r="B614" s="20"/>
      <c r="D614" s="20"/>
      <c r="E614" s="20"/>
      <c r="F614" s="20"/>
      <c r="G614" s="20"/>
      <c r="H614" s="284"/>
      <c r="I614" s="20"/>
      <c r="J614" s="57"/>
      <c r="K614" s="20"/>
      <c r="L614" s="20"/>
    </row>
    <row r="615" spans="1:12">
      <c r="A615" s="53"/>
      <c r="B615" s="20"/>
      <c r="D615" s="20"/>
      <c r="E615" s="20"/>
      <c r="F615" s="20"/>
      <c r="G615" s="20"/>
      <c r="H615" s="284"/>
      <c r="I615" s="20"/>
      <c r="J615" s="57"/>
      <c r="K615" s="20"/>
      <c r="L615" s="20"/>
    </row>
    <row r="616" spans="1:12">
      <c r="A616" s="53"/>
      <c r="B616" s="20"/>
      <c r="D616" s="20"/>
      <c r="E616" s="20"/>
      <c r="F616" s="20"/>
      <c r="G616" s="20"/>
      <c r="H616" s="284"/>
      <c r="I616" s="20"/>
      <c r="J616" s="57"/>
      <c r="K616" s="20"/>
      <c r="L616" s="20"/>
    </row>
    <row r="617" spans="1:12">
      <c r="A617" s="53"/>
      <c r="B617" s="20"/>
      <c r="D617" s="20"/>
      <c r="E617" s="20"/>
      <c r="F617" s="20"/>
      <c r="G617" s="20"/>
      <c r="H617" s="284"/>
      <c r="I617" s="20"/>
      <c r="J617" s="57"/>
      <c r="K617" s="20"/>
      <c r="L617" s="20"/>
    </row>
    <row r="618" spans="1:12">
      <c r="A618" s="53"/>
      <c r="B618" s="20"/>
      <c r="D618" s="20"/>
      <c r="E618" s="20"/>
      <c r="F618" s="20"/>
      <c r="G618" s="20"/>
      <c r="H618" s="284"/>
      <c r="I618" s="20"/>
      <c r="J618" s="57"/>
      <c r="K618" s="20"/>
      <c r="L618" s="20"/>
    </row>
    <row r="619" spans="1:12">
      <c r="A619" s="53"/>
      <c r="B619" s="20"/>
      <c r="D619" s="20"/>
      <c r="E619" s="20"/>
      <c r="F619" s="20"/>
      <c r="G619" s="20"/>
      <c r="H619" s="284"/>
      <c r="I619" s="20"/>
      <c r="J619" s="57"/>
      <c r="K619" s="20"/>
      <c r="L619" s="20"/>
    </row>
    <row r="620" spans="1:12">
      <c r="A620" s="53"/>
      <c r="B620" s="20"/>
      <c r="D620" s="20"/>
      <c r="E620" s="20"/>
      <c r="F620" s="20"/>
      <c r="G620" s="20"/>
      <c r="H620" s="284"/>
      <c r="I620" s="20"/>
      <c r="J620" s="57"/>
      <c r="K620" s="20"/>
      <c r="L620" s="20"/>
    </row>
    <row r="621" spans="1:12">
      <c r="A621" s="53"/>
      <c r="B621" s="20"/>
      <c r="D621" s="20"/>
      <c r="E621" s="20"/>
      <c r="F621" s="20"/>
      <c r="G621" s="20"/>
      <c r="H621" s="284"/>
      <c r="I621" s="20"/>
      <c r="J621" s="57"/>
      <c r="K621" s="20"/>
      <c r="L621" s="20"/>
    </row>
    <row r="622" spans="1:12">
      <c r="A622" s="53"/>
      <c r="B622" s="20"/>
      <c r="D622" s="20"/>
      <c r="E622" s="20"/>
      <c r="F622" s="20"/>
      <c r="G622" s="20"/>
      <c r="H622" s="284"/>
      <c r="I622" s="20"/>
      <c r="J622" s="57"/>
      <c r="K622" s="20"/>
      <c r="L622" s="20"/>
    </row>
    <row r="623" spans="1:12">
      <c r="A623" s="53"/>
      <c r="B623" s="20"/>
      <c r="D623" s="20"/>
      <c r="E623" s="20"/>
      <c r="F623" s="20"/>
      <c r="G623" s="20"/>
      <c r="H623" s="284"/>
      <c r="I623" s="20"/>
      <c r="J623" s="57"/>
      <c r="K623" s="20"/>
      <c r="L623" s="20"/>
    </row>
    <row r="624" spans="1:12">
      <c r="A624" s="53"/>
      <c r="B624" s="20"/>
      <c r="D624" s="20"/>
      <c r="E624" s="20"/>
      <c r="F624" s="20"/>
      <c r="G624" s="20"/>
      <c r="H624" s="284"/>
      <c r="I624" s="20"/>
      <c r="J624" s="57"/>
      <c r="K624" s="20"/>
      <c r="L624" s="20"/>
    </row>
    <row r="625" spans="1:12">
      <c r="A625" s="53"/>
      <c r="B625" s="20"/>
      <c r="D625" s="20"/>
      <c r="E625" s="20"/>
      <c r="F625" s="20"/>
      <c r="G625" s="20"/>
      <c r="H625" s="284"/>
      <c r="I625" s="20"/>
      <c r="J625" s="57"/>
      <c r="K625" s="20"/>
      <c r="L625" s="20"/>
    </row>
    <row r="626" spans="1:12">
      <c r="A626" s="53"/>
      <c r="B626" s="20"/>
      <c r="D626" s="20"/>
      <c r="E626" s="20"/>
      <c r="F626" s="20"/>
      <c r="G626" s="20"/>
      <c r="H626" s="284"/>
      <c r="I626" s="20"/>
      <c r="J626" s="57"/>
      <c r="K626" s="20"/>
      <c r="L626" s="20"/>
    </row>
    <row r="627" spans="1:12">
      <c r="A627" s="53"/>
      <c r="B627" s="20"/>
      <c r="D627" s="20"/>
      <c r="E627" s="20"/>
      <c r="F627" s="20"/>
      <c r="G627" s="20"/>
      <c r="H627" s="284"/>
      <c r="I627" s="20"/>
      <c r="J627" s="57"/>
      <c r="K627" s="20"/>
      <c r="L627" s="20"/>
    </row>
    <row r="628" spans="1:12">
      <c r="A628" s="53"/>
      <c r="B628" s="20"/>
      <c r="D628" s="20"/>
      <c r="E628" s="20"/>
      <c r="F628" s="20"/>
      <c r="G628" s="20"/>
      <c r="H628" s="284"/>
      <c r="I628" s="20"/>
      <c r="J628" s="57"/>
      <c r="K628" s="20"/>
      <c r="L628" s="20"/>
    </row>
    <row r="629" spans="1:12">
      <c r="A629" s="53"/>
      <c r="B629" s="20"/>
      <c r="D629" s="20"/>
      <c r="E629" s="20"/>
      <c r="F629" s="20"/>
      <c r="G629" s="20"/>
      <c r="H629" s="284"/>
      <c r="I629" s="20"/>
      <c r="J629" s="57"/>
      <c r="K629" s="20"/>
      <c r="L629" s="20"/>
    </row>
    <row r="630" spans="1:12">
      <c r="A630" s="53"/>
      <c r="B630" s="20"/>
      <c r="D630" s="20"/>
      <c r="E630" s="20"/>
      <c r="F630" s="20"/>
      <c r="G630" s="20"/>
      <c r="H630" s="284"/>
      <c r="I630" s="20"/>
      <c r="J630" s="57"/>
      <c r="K630" s="20"/>
      <c r="L630" s="20"/>
    </row>
    <row r="631" spans="1:12">
      <c r="A631" s="53"/>
      <c r="B631" s="20"/>
      <c r="D631" s="20"/>
      <c r="E631" s="20"/>
      <c r="F631" s="20"/>
      <c r="G631" s="20"/>
      <c r="H631" s="284"/>
      <c r="I631" s="20"/>
      <c r="J631" s="57"/>
      <c r="K631" s="20"/>
      <c r="L631" s="20"/>
    </row>
    <row r="632" spans="1:12">
      <c r="A632" s="53"/>
      <c r="B632" s="20"/>
      <c r="D632" s="20"/>
      <c r="E632" s="20"/>
      <c r="F632" s="20"/>
      <c r="G632" s="20"/>
      <c r="H632" s="284"/>
      <c r="I632" s="20"/>
      <c r="J632" s="57"/>
      <c r="K632" s="20"/>
      <c r="L632" s="20"/>
    </row>
    <row r="633" spans="1:12">
      <c r="A633" s="53"/>
      <c r="B633" s="20"/>
      <c r="D633" s="20"/>
      <c r="E633" s="20"/>
      <c r="F633" s="20"/>
      <c r="G633" s="20"/>
      <c r="H633" s="284"/>
      <c r="I633" s="20"/>
      <c r="J633" s="57"/>
      <c r="K633" s="20"/>
      <c r="L633" s="20"/>
    </row>
    <row r="634" spans="1:12">
      <c r="A634" s="53"/>
      <c r="B634" s="20"/>
      <c r="D634" s="20"/>
      <c r="E634" s="20"/>
      <c r="F634" s="20"/>
      <c r="G634" s="20"/>
      <c r="H634" s="284"/>
      <c r="I634" s="20"/>
      <c r="J634" s="57"/>
      <c r="K634" s="20"/>
      <c r="L634" s="20"/>
    </row>
    <row r="635" spans="1:12">
      <c r="A635" s="53"/>
      <c r="B635" s="20"/>
      <c r="D635" s="20"/>
      <c r="E635" s="20"/>
      <c r="F635" s="20"/>
      <c r="G635" s="20"/>
      <c r="H635" s="284"/>
      <c r="I635" s="20"/>
      <c r="J635" s="57"/>
      <c r="K635" s="20"/>
      <c r="L635" s="20"/>
    </row>
    <row r="636" spans="1:12">
      <c r="A636" s="53"/>
      <c r="B636" s="20"/>
      <c r="D636" s="20"/>
      <c r="E636" s="20"/>
      <c r="F636" s="20"/>
      <c r="G636" s="20"/>
      <c r="H636" s="284"/>
      <c r="I636" s="20"/>
      <c r="J636" s="57"/>
      <c r="K636" s="20"/>
      <c r="L636" s="20"/>
    </row>
    <row r="637" spans="1:12">
      <c r="A637" s="53"/>
      <c r="B637" s="20"/>
      <c r="D637" s="20"/>
      <c r="E637" s="20"/>
      <c r="F637" s="20"/>
      <c r="G637" s="20"/>
      <c r="H637" s="284"/>
      <c r="I637" s="20"/>
      <c r="J637" s="57"/>
      <c r="K637" s="20"/>
      <c r="L637" s="20"/>
    </row>
    <row r="638" spans="1:12">
      <c r="A638" s="53"/>
      <c r="B638" s="20"/>
      <c r="D638" s="20"/>
      <c r="E638" s="20"/>
      <c r="F638" s="20"/>
      <c r="G638" s="20"/>
      <c r="H638" s="284"/>
      <c r="I638" s="20"/>
      <c r="J638" s="57"/>
      <c r="K638" s="20"/>
      <c r="L638" s="20"/>
    </row>
    <row r="639" spans="1:12">
      <c r="A639" s="53"/>
      <c r="B639" s="20"/>
      <c r="D639" s="20"/>
      <c r="E639" s="20"/>
      <c r="F639" s="20"/>
      <c r="G639" s="20"/>
      <c r="H639" s="284"/>
      <c r="I639" s="20"/>
      <c r="J639" s="57"/>
      <c r="K639" s="20"/>
      <c r="L639" s="20"/>
    </row>
    <row r="640" spans="1:12">
      <c r="A640" s="53"/>
      <c r="B640" s="20"/>
      <c r="D640" s="20"/>
      <c r="E640" s="20"/>
      <c r="F640" s="20"/>
      <c r="G640" s="20"/>
      <c r="H640" s="284"/>
      <c r="I640" s="20"/>
      <c r="J640" s="57"/>
      <c r="K640" s="20"/>
      <c r="L640" s="20"/>
    </row>
    <row r="641" spans="1:12">
      <c r="A641" s="53"/>
      <c r="B641" s="20"/>
      <c r="D641" s="20"/>
      <c r="E641" s="20"/>
      <c r="F641" s="20"/>
      <c r="G641" s="20"/>
      <c r="H641" s="284"/>
      <c r="I641" s="20"/>
      <c r="J641" s="57"/>
      <c r="K641" s="20"/>
      <c r="L641" s="20"/>
    </row>
    <row r="642" spans="1:12">
      <c r="A642" s="53"/>
      <c r="B642" s="20"/>
      <c r="D642" s="20"/>
      <c r="E642" s="20"/>
      <c r="F642" s="20"/>
      <c r="G642" s="20"/>
      <c r="H642" s="284"/>
      <c r="I642" s="20"/>
      <c r="J642" s="57"/>
      <c r="K642" s="20"/>
      <c r="L642" s="20"/>
    </row>
    <row r="643" spans="1:12">
      <c r="A643" s="53"/>
      <c r="B643" s="20"/>
      <c r="D643" s="20"/>
      <c r="E643" s="20"/>
      <c r="F643" s="20"/>
      <c r="G643" s="20"/>
      <c r="H643" s="284"/>
      <c r="I643" s="20"/>
      <c r="J643" s="57"/>
      <c r="K643" s="20"/>
      <c r="L643" s="20"/>
    </row>
    <row r="644" spans="1:12">
      <c r="A644" s="53"/>
      <c r="B644" s="20"/>
      <c r="D644" s="20"/>
      <c r="E644" s="20"/>
      <c r="F644" s="20"/>
      <c r="G644" s="20"/>
      <c r="H644" s="284"/>
      <c r="I644" s="20"/>
      <c r="J644" s="57"/>
      <c r="K644" s="20"/>
      <c r="L644" s="20"/>
    </row>
    <row r="645" spans="1:12">
      <c r="A645" s="53"/>
      <c r="B645" s="20"/>
      <c r="D645" s="20"/>
      <c r="E645" s="20"/>
      <c r="F645" s="20"/>
      <c r="G645" s="20"/>
      <c r="H645" s="284"/>
      <c r="I645" s="20"/>
      <c r="J645" s="57"/>
      <c r="K645" s="20"/>
      <c r="L645" s="20"/>
    </row>
    <row r="646" spans="1:12">
      <c r="A646" s="53"/>
      <c r="B646" s="20"/>
      <c r="D646" s="20"/>
      <c r="E646" s="20"/>
      <c r="F646" s="20"/>
      <c r="G646" s="20"/>
      <c r="H646" s="284"/>
      <c r="I646" s="20"/>
      <c r="J646" s="57"/>
      <c r="K646" s="20"/>
      <c r="L646" s="20"/>
    </row>
    <row r="647" spans="1:12">
      <c r="A647" s="53"/>
      <c r="B647" s="20"/>
      <c r="D647" s="20"/>
      <c r="E647" s="20"/>
      <c r="F647" s="20"/>
      <c r="G647" s="20"/>
      <c r="H647" s="284"/>
      <c r="I647" s="20"/>
      <c r="J647" s="57"/>
      <c r="K647" s="20"/>
      <c r="L647" s="20"/>
    </row>
    <row r="648" spans="1:12">
      <c r="A648" s="53"/>
      <c r="B648" s="20"/>
      <c r="D648" s="20"/>
      <c r="E648" s="20"/>
      <c r="F648" s="20"/>
      <c r="G648" s="20"/>
      <c r="H648" s="284"/>
      <c r="I648" s="20"/>
      <c r="J648" s="57"/>
      <c r="K648" s="20"/>
      <c r="L648" s="20"/>
    </row>
    <row r="649" spans="1:12">
      <c r="A649" s="53"/>
      <c r="B649" s="20"/>
      <c r="D649" s="20"/>
      <c r="E649" s="20"/>
      <c r="F649" s="20"/>
      <c r="G649" s="20"/>
      <c r="H649" s="284"/>
      <c r="I649" s="20"/>
      <c r="J649" s="57"/>
      <c r="K649" s="20"/>
      <c r="L649" s="20"/>
    </row>
    <row r="650" spans="1:12">
      <c r="A650" s="53"/>
      <c r="B650" s="20"/>
      <c r="D650" s="20"/>
      <c r="E650" s="20"/>
      <c r="F650" s="20"/>
      <c r="G650" s="20"/>
      <c r="H650" s="284"/>
      <c r="I650" s="20"/>
      <c r="J650" s="57"/>
      <c r="K650" s="20"/>
      <c r="L650" s="20"/>
    </row>
    <row r="651" spans="1:12">
      <c r="A651" s="53"/>
      <c r="B651" s="20"/>
      <c r="D651" s="20"/>
      <c r="E651" s="20"/>
      <c r="F651" s="20"/>
      <c r="G651" s="20"/>
      <c r="H651" s="284"/>
      <c r="I651" s="20"/>
      <c r="J651" s="57"/>
      <c r="K651" s="20"/>
      <c r="L651" s="20"/>
    </row>
    <row r="652" spans="1:12">
      <c r="A652" s="53"/>
      <c r="B652" s="20"/>
      <c r="D652" s="20"/>
      <c r="E652" s="20"/>
      <c r="F652" s="20"/>
      <c r="G652" s="20"/>
      <c r="H652" s="284"/>
      <c r="I652" s="20"/>
      <c r="J652" s="57"/>
      <c r="K652" s="20"/>
      <c r="L652" s="20"/>
    </row>
    <row r="653" spans="1:12">
      <c r="A653" s="53"/>
      <c r="B653" s="20"/>
      <c r="D653" s="20"/>
      <c r="E653" s="20"/>
      <c r="F653" s="20"/>
      <c r="G653" s="20"/>
      <c r="H653" s="284"/>
      <c r="I653" s="20"/>
      <c r="J653" s="57"/>
      <c r="K653" s="20"/>
      <c r="L653" s="20"/>
    </row>
  </sheetData>
  <autoFilter ref="A8:L544"/>
  <mergeCells count="10">
    <mergeCell ref="A2:L2"/>
    <mergeCell ref="A4:L4"/>
    <mergeCell ref="D6:E6"/>
    <mergeCell ref="F6:G6"/>
    <mergeCell ref="H6:I6"/>
    <mergeCell ref="J6:K6"/>
    <mergeCell ref="A6:A7"/>
    <mergeCell ref="B6:B7"/>
    <mergeCell ref="C6:C7"/>
    <mergeCell ref="L6:L7"/>
  </mergeCells>
  <printOptions horizontalCentered="1"/>
  <pageMargins left="0.118110236220472" right="0.118110236220472" top="0.31299212599999998" bottom="0.24803149599999999" header="0.66929133858267698" footer="0.31496062992126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AF478"/>
  <sheetViews>
    <sheetView topLeftCell="A22" zoomScaleNormal="100" zoomScaleSheetLayoutView="100" workbookViewId="0">
      <selection activeCell="K22" sqref="K22:K48"/>
    </sheetView>
  </sheetViews>
  <sheetFormatPr defaultColWidth="9.140625" defaultRowHeight="15"/>
  <cols>
    <col min="1" max="1" width="3.85546875" style="44" customWidth="1"/>
    <col min="2" max="2" width="43" style="45" customWidth="1"/>
    <col min="3" max="3" width="9.7109375" style="20" customWidth="1"/>
    <col min="4" max="4" width="7.28515625" style="63" customWidth="1"/>
    <col min="5" max="5" width="9" style="63" customWidth="1"/>
    <col min="6" max="6" width="8.7109375" style="63" customWidth="1"/>
    <col min="7" max="7" width="8.42578125" style="63" customWidth="1"/>
    <col min="8" max="8" width="8" style="289" customWidth="1"/>
    <col min="9" max="9" width="9" style="63" customWidth="1"/>
    <col min="10" max="10" width="8.140625" style="229" customWidth="1"/>
    <col min="11" max="11" width="8.28515625" style="63" customWidth="1"/>
    <col min="12" max="12" width="10.85546875" style="63" customWidth="1"/>
    <col min="13" max="25" width="9.140625" style="296"/>
    <col min="26" max="16384" width="9.140625" style="1"/>
  </cols>
  <sheetData>
    <row r="1" spans="1:32">
      <c r="A1" s="64"/>
      <c r="B1" s="65"/>
      <c r="C1" s="65"/>
      <c r="D1" s="65"/>
      <c r="E1" s="65"/>
      <c r="F1" s="65"/>
      <c r="G1" s="65"/>
      <c r="H1" s="278"/>
      <c r="I1" s="65"/>
      <c r="J1" s="69"/>
      <c r="K1" s="65"/>
      <c r="L1" s="65"/>
    </row>
    <row r="2" spans="1:32" ht="16.5" customHeight="1">
      <c r="A2" s="1099" t="s">
        <v>254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</row>
    <row r="3" spans="1:32" ht="21">
      <c r="A3" s="66"/>
      <c r="B3" s="67"/>
      <c r="C3" s="68"/>
      <c r="D3" s="68"/>
      <c r="E3" s="68"/>
      <c r="F3" s="68"/>
      <c r="G3" s="68"/>
      <c r="H3" s="279"/>
      <c r="I3" s="68"/>
      <c r="J3" s="70"/>
      <c r="K3" s="68"/>
      <c r="L3" s="68"/>
    </row>
    <row r="4" spans="1:32" ht="16.5">
      <c r="A4" s="1099" t="s">
        <v>377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</row>
    <row r="5" spans="1:32" ht="21">
      <c r="A5" s="66"/>
      <c r="B5" s="67"/>
      <c r="C5" s="68"/>
      <c r="D5" s="68"/>
      <c r="E5" s="68"/>
      <c r="F5" s="68"/>
      <c r="G5" s="68"/>
      <c r="H5" s="279"/>
      <c r="I5" s="68"/>
      <c r="J5" s="70"/>
      <c r="K5" s="68"/>
      <c r="L5" s="68"/>
    </row>
    <row r="6" spans="1:32" ht="27" customHeight="1">
      <c r="A6" s="1087" t="s">
        <v>13</v>
      </c>
      <c r="B6" s="1087" t="s">
        <v>27</v>
      </c>
      <c r="C6" s="1087" t="s">
        <v>35</v>
      </c>
      <c r="D6" s="1100" t="s">
        <v>36</v>
      </c>
      <c r="E6" s="1101"/>
      <c r="F6" s="1087" t="s">
        <v>37</v>
      </c>
      <c r="G6" s="1087"/>
      <c r="H6" s="1087" t="s">
        <v>38</v>
      </c>
      <c r="I6" s="1087"/>
      <c r="J6" s="1087" t="s">
        <v>39</v>
      </c>
      <c r="K6" s="1087"/>
      <c r="L6" s="1102" t="s">
        <v>40</v>
      </c>
    </row>
    <row r="7" spans="1:32" ht="40.5">
      <c r="A7" s="1087"/>
      <c r="B7" s="1087"/>
      <c r="C7" s="1087"/>
      <c r="D7" s="73" t="s">
        <v>41</v>
      </c>
      <c r="E7" s="292" t="s">
        <v>22</v>
      </c>
      <c r="F7" s="73" t="s">
        <v>42</v>
      </c>
      <c r="G7" s="292" t="s">
        <v>43</v>
      </c>
      <c r="H7" s="293" t="s">
        <v>42</v>
      </c>
      <c r="I7" s="292" t="s">
        <v>43</v>
      </c>
      <c r="J7" s="73" t="s">
        <v>42</v>
      </c>
      <c r="K7" s="292" t="s">
        <v>43</v>
      </c>
      <c r="L7" s="1103"/>
    </row>
    <row r="8" spans="1:32">
      <c r="A8" s="74">
        <v>1</v>
      </c>
      <c r="B8" s="74">
        <v>2</v>
      </c>
      <c r="C8" s="75">
        <v>3</v>
      </c>
      <c r="D8" s="74">
        <v>4</v>
      </c>
      <c r="E8" s="74">
        <v>5</v>
      </c>
      <c r="F8" s="74">
        <v>6</v>
      </c>
      <c r="G8" s="76">
        <v>7</v>
      </c>
      <c r="H8" s="280">
        <v>8</v>
      </c>
      <c r="I8" s="76">
        <v>9</v>
      </c>
      <c r="J8" s="74">
        <v>10</v>
      </c>
      <c r="K8" s="74">
        <v>11</v>
      </c>
      <c r="L8" s="74">
        <v>12</v>
      </c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</row>
    <row r="9" spans="1:32">
      <c r="A9" s="914"/>
      <c r="B9" s="919" t="s">
        <v>17</v>
      </c>
      <c r="C9" s="916"/>
      <c r="D9" s="915"/>
      <c r="E9" s="915"/>
      <c r="F9" s="915"/>
      <c r="G9" s="917"/>
      <c r="H9" s="918"/>
      <c r="I9" s="917"/>
      <c r="J9" s="915"/>
      <c r="K9" s="915"/>
      <c r="L9" s="915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</row>
    <row r="10" spans="1:32" s="13" customFormat="1" ht="42.75">
      <c r="A10" s="931">
        <v>1</v>
      </c>
      <c r="B10" s="932" t="s">
        <v>439</v>
      </c>
      <c r="C10" s="931" t="s">
        <v>358</v>
      </c>
      <c r="D10" s="931"/>
      <c r="E10" s="933">
        <f>52.8+3.33+2.91</f>
        <v>59.039999999999992</v>
      </c>
      <c r="F10" s="934"/>
      <c r="G10" s="934"/>
      <c r="H10" s="935"/>
      <c r="I10" s="934"/>
      <c r="J10" s="934"/>
      <c r="K10" s="934"/>
      <c r="L10" s="934"/>
      <c r="M10" s="275"/>
      <c r="N10" s="275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</row>
    <row r="11" spans="1:32" s="13" customFormat="1">
      <c r="A11" s="922"/>
      <c r="B11" s="743" t="s">
        <v>45</v>
      </c>
      <c r="C11" s="750" t="s">
        <v>46</v>
      </c>
      <c r="D11" s="753">
        <v>1.54E-2</v>
      </c>
      <c r="E11" s="745">
        <f>D11*E10</f>
        <v>0.90921599999999991</v>
      </c>
      <c r="F11" s="742"/>
      <c r="G11" s="742"/>
      <c r="H11" s="912"/>
      <c r="I11" s="746">
        <f>H11*E11</f>
        <v>0</v>
      </c>
      <c r="J11" s="742"/>
      <c r="K11" s="746"/>
      <c r="L11" s="746">
        <f>K11+I11+G11</f>
        <v>0</v>
      </c>
      <c r="M11" s="275"/>
      <c r="N11" s="275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</row>
    <row r="12" spans="1:32" s="13" customFormat="1">
      <c r="A12" s="860"/>
      <c r="B12" s="920" t="s">
        <v>359</v>
      </c>
      <c r="C12" s="920" t="s">
        <v>293</v>
      </c>
      <c r="D12" s="920"/>
      <c r="E12" s="923">
        <v>1</v>
      </c>
      <c r="F12" s="920"/>
      <c r="G12" s="920"/>
      <c r="H12" s="921"/>
      <c r="I12" s="920"/>
      <c r="J12" s="746"/>
      <c r="K12" s="746">
        <f>E12*J12</f>
        <v>0</v>
      </c>
      <c r="L12" s="746">
        <f>K12+I12+G12</f>
        <v>0</v>
      </c>
      <c r="M12" s="275"/>
      <c r="N12" s="275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</row>
    <row r="13" spans="1:32" s="13" customFormat="1">
      <c r="A13" s="860"/>
      <c r="B13" s="924"/>
      <c r="C13" s="860"/>
      <c r="D13" s="860"/>
      <c r="E13" s="860"/>
      <c r="F13" s="920"/>
      <c r="G13" s="920"/>
      <c r="H13" s="921"/>
      <c r="I13" s="925"/>
      <c r="J13" s="925"/>
      <c r="K13" s="746"/>
      <c r="L13" s="746"/>
      <c r="M13" s="275"/>
      <c r="N13" s="275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</row>
    <row r="14" spans="1:32" s="13" customFormat="1" ht="15.75">
      <c r="A14" s="936">
        <v>2</v>
      </c>
      <c r="B14" s="932" t="s">
        <v>360</v>
      </c>
      <c r="C14" s="931" t="s">
        <v>156</v>
      </c>
      <c r="D14" s="936"/>
      <c r="E14" s="937">
        <f>E10*0.07</f>
        <v>4.1327999999999996</v>
      </c>
      <c r="F14" s="934"/>
      <c r="G14" s="934"/>
      <c r="H14" s="935"/>
      <c r="I14" s="938"/>
      <c r="J14" s="938"/>
      <c r="K14" s="938"/>
      <c r="L14" s="938"/>
      <c r="M14" s="275"/>
      <c r="N14" s="275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</row>
    <row r="15" spans="1:32" s="13" customFormat="1">
      <c r="A15" s="922"/>
      <c r="B15" s="924" t="s">
        <v>55</v>
      </c>
      <c r="C15" s="860" t="s">
        <v>46</v>
      </c>
      <c r="D15" s="922">
        <v>1.54</v>
      </c>
      <c r="E15" s="926">
        <f>D15*E14</f>
        <v>6.3645119999999995</v>
      </c>
      <c r="F15" s="920"/>
      <c r="G15" s="920"/>
      <c r="H15" s="921"/>
      <c r="I15" s="925">
        <f>H15*E15</f>
        <v>0</v>
      </c>
      <c r="J15" s="925"/>
      <c r="K15" s="925"/>
      <c r="L15" s="925">
        <f>K15+I15+G15</f>
        <v>0</v>
      </c>
      <c r="M15" s="275"/>
      <c r="N15" s="275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</row>
    <row r="16" spans="1:32" s="927" customFormat="1" ht="15.75">
      <c r="A16" s="742"/>
      <c r="B16" s="747"/>
      <c r="C16" s="742"/>
      <c r="D16" s="750"/>
      <c r="E16" s="753"/>
      <c r="F16" s="742"/>
      <c r="G16" s="742"/>
      <c r="H16" s="912"/>
      <c r="I16" s="746"/>
      <c r="J16" s="746"/>
      <c r="K16" s="746"/>
      <c r="L16" s="746"/>
      <c r="M16" s="316"/>
      <c r="N16" s="316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</row>
    <row r="17" spans="1:32" s="5" customFormat="1" ht="15.75" customHeight="1">
      <c r="A17" s="738">
        <v>3</v>
      </c>
      <c r="B17" s="804" t="s">
        <v>361</v>
      </c>
      <c r="C17" s="738" t="s">
        <v>156</v>
      </c>
      <c r="D17" s="939"/>
      <c r="E17" s="883">
        <v>2</v>
      </c>
      <c r="F17" s="738"/>
      <c r="G17" s="738"/>
      <c r="H17" s="940"/>
      <c r="I17" s="741"/>
      <c r="J17" s="741"/>
      <c r="K17" s="741"/>
      <c r="L17" s="741"/>
      <c r="M17" s="928"/>
      <c r="N17" s="928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</row>
    <row r="18" spans="1:32" s="13" customFormat="1" ht="15" customHeight="1">
      <c r="A18" s="922"/>
      <c r="B18" s="924" t="s">
        <v>55</v>
      </c>
      <c r="C18" s="860" t="s">
        <v>46</v>
      </c>
      <c r="D18" s="922">
        <v>1.8</v>
      </c>
      <c r="E18" s="926">
        <f>D18*E17</f>
        <v>3.6</v>
      </c>
      <c r="F18" s="920"/>
      <c r="G18" s="920"/>
      <c r="H18" s="921"/>
      <c r="I18" s="925">
        <f>H18*E18</f>
        <v>0</v>
      </c>
      <c r="J18" s="925"/>
      <c r="K18" s="925"/>
      <c r="L18" s="925">
        <f>K18+I18+G18</f>
        <v>0</v>
      </c>
      <c r="M18" s="275"/>
      <c r="N18" s="275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</row>
    <row r="19" spans="1:32" s="927" customFormat="1" ht="15.75">
      <c r="A19" s="742"/>
      <c r="B19" s="747" t="s">
        <v>138</v>
      </c>
      <c r="C19" s="835" t="s">
        <v>362</v>
      </c>
      <c r="D19" s="824">
        <v>1.1000000000000001</v>
      </c>
      <c r="E19" s="753">
        <f>D19*E17</f>
        <v>2.2000000000000002</v>
      </c>
      <c r="F19" s="742"/>
      <c r="G19" s="929">
        <f t="shared" ref="G19" si="0">E19*F19</f>
        <v>0</v>
      </c>
      <c r="H19" s="930"/>
      <c r="I19" s="930"/>
      <c r="J19" s="930"/>
      <c r="K19" s="930"/>
      <c r="L19" s="930">
        <f t="shared" ref="L19" si="1">K19+I19+G19</f>
        <v>0</v>
      </c>
      <c r="M19" s="316"/>
      <c r="N19" s="316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</row>
    <row r="20" spans="1:32" s="3" customFormat="1" ht="15.75">
      <c r="A20" s="757">
        <v>4</v>
      </c>
      <c r="B20" s="909" t="s">
        <v>357</v>
      </c>
      <c r="C20" s="740" t="s">
        <v>282</v>
      </c>
      <c r="D20" s="759"/>
      <c r="E20" s="759">
        <v>1.65</v>
      </c>
      <c r="F20" s="759"/>
      <c r="G20" s="759"/>
      <c r="H20" s="910"/>
      <c r="I20" s="759"/>
      <c r="J20" s="760"/>
      <c r="K20" s="759"/>
      <c r="L20" s="759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32">
      <c r="A21" s="742"/>
      <c r="B21" s="911" t="s">
        <v>45</v>
      </c>
      <c r="C21" s="835" t="s">
        <v>46</v>
      </c>
      <c r="D21" s="835">
        <v>6.42</v>
      </c>
      <c r="E21" s="835">
        <f>D21*E20</f>
        <v>10.593</v>
      </c>
      <c r="F21" s="742"/>
      <c r="G21" s="742"/>
      <c r="H21" s="912"/>
      <c r="I21" s="746">
        <f>H21*E21</f>
        <v>0</v>
      </c>
      <c r="J21" s="742"/>
      <c r="K21" s="746"/>
      <c r="L21" s="746">
        <f>K21+I21+G21</f>
        <v>0</v>
      </c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</row>
    <row r="22" spans="1:32">
      <c r="A22" s="742"/>
      <c r="B22" s="911" t="s">
        <v>53</v>
      </c>
      <c r="C22" s="835" t="s">
        <v>2</v>
      </c>
      <c r="D22" s="905">
        <v>0.38500000000000001</v>
      </c>
      <c r="E22" s="913">
        <f>D22*E20</f>
        <v>0.63524999999999998</v>
      </c>
      <c r="F22" s="742"/>
      <c r="G22" s="742"/>
      <c r="H22" s="912"/>
      <c r="I22" s="742"/>
      <c r="J22" s="742"/>
      <c r="K22" s="746">
        <f>E22*J22</f>
        <v>0</v>
      </c>
      <c r="L22" s="746">
        <f>K22+I22+G22</f>
        <v>0</v>
      </c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</row>
    <row r="23" spans="1:32" s="19" customFormat="1" ht="15.75">
      <c r="A23" s="742"/>
      <c r="B23" s="763" t="s">
        <v>172</v>
      </c>
      <c r="C23" s="744" t="s">
        <v>166</v>
      </c>
      <c r="D23" s="766">
        <v>1.0149999999999999</v>
      </c>
      <c r="E23" s="767">
        <f>D23*E20</f>
        <v>1.6747499999999997</v>
      </c>
      <c r="F23" s="756"/>
      <c r="G23" s="753">
        <f>E23*F23</f>
        <v>0</v>
      </c>
      <c r="H23" s="742"/>
      <c r="I23" s="746"/>
      <c r="J23" s="742"/>
      <c r="K23" s="742"/>
      <c r="L23" s="746">
        <f>K23+I23+G23</f>
        <v>0</v>
      </c>
    </row>
    <row r="24" spans="1:32" s="265" customFormat="1" ht="14.25" customHeight="1">
      <c r="A24" s="750"/>
      <c r="B24" s="768" t="s">
        <v>308</v>
      </c>
      <c r="C24" s="742" t="s">
        <v>51</v>
      </c>
      <c r="D24" s="755"/>
      <c r="E24" s="781">
        <v>1.7999999999999999E-2</v>
      </c>
      <c r="F24" s="793"/>
      <c r="G24" s="746">
        <f>F24*E24</f>
        <v>0</v>
      </c>
      <c r="H24" s="754"/>
      <c r="I24" s="755"/>
      <c r="J24" s="762"/>
      <c r="K24" s="762"/>
      <c r="L24" s="746">
        <f t="shared" ref="L24" si="2">K24+I24+G24</f>
        <v>0</v>
      </c>
    </row>
    <row r="25" spans="1:32" ht="15.75">
      <c r="A25" s="914"/>
      <c r="B25" s="941" t="s">
        <v>58</v>
      </c>
      <c r="C25" s="744" t="s">
        <v>166</v>
      </c>
      <c r="D25" s="915">
        <v>7.4999999999999997E-2</v>
      </c>
      <c r="E25" s="915">
        <f>D25*E20</f>
        <v>0.12374999999999999</v>
      </c>
      <c r="F25" s="915"/>
      <c r="G25" s="819">
        <f>F25*E25</f>
        <v>0</v>
      </c>
      <c r="H25" s="819"/>
      <c r="I25" s="820"/>
      <c r="J25" s="819"/>
      <c r="K25" s="820"/>
      <c r="L25" s="820">
        <f t="shared" ref="L25:L30" si="3">K25+I25+G25</f>
        <v>0</v>
      </c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</row>
    <row r="26" spans="1:32" ht="15.75">
      <c r="A26" s="914"/>
      <c r="B26" s="941" t="s">
        <v>447</v>
      </c>
      <c r="C26" s="744" t="s">
        <v>165</v>
      </c>
      <c r="D26" s="915"/>
      <c r="E26" s="915">
        <v>1.36</v>
      </c>
      <c r="F26" s="915"/>
      <c r="G26" s="819">
        <f>F26*E26</f>
        <v>0</v>
      </c>
      <c r="H26" s="819"/>
      <c r="I26" s="820"/>
      <c r="J26" s="819"/>
      <c r="K26" s="820"/>
      <c r="L26" s="820">
        <f t="shared" si="3"/>
        <v>0</v>
      </c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</row>
    <row r="27" spans="1:32" ht="15.75">
      <c r="A27" s="914"/>
      <c r="B27" s="941" t="s">
        <v>363</v>
      </c>
      <c r="C27" s="744" t="s">
        <v>165</v>
      </c>
      <c r="D27" s="915"/>
      <c r="E27" s="915">
        <v>0.78</v>
      </c>
      <c r="F27" s="915"/>
      <c r="G27" s="73">
        <f>E27*F27</f>
        <v>0</v>
      </c>
      <c r="H27" s="269"/>
      <c r="I27" s="515"/>
      <c r="J27" s="515"/>
      <c r="K27" s="515"/>
      <c r="L27" s="73">
        <f t="shared" si="3"/>
        <v>0</v>
      </c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</row>
    <row r="28" spans="1:32">
      <c r="A28" s="914"/>
      <c r="B28" s="941" t="s">
        <v>433</v>
      </c>
      <c r="C28" s="744" t="s">
        <v>104</v>
      </c>
      <c r="D28" s="915"/>
      <c r="E28" s="915">
        <v>1</v>
      </c>
      <c r="F28" s="915"/>
      <c r="G28" s="746">
        <f>E28*F28</f>
        <v>0</v>
      </c>
      <c r="H28" s="908"/>
      <c r="I28" s="784"/>
      <c r="J28" s="784"/>
      <c r="K28" s="784"/>
      <c r="L28" s="746">
        <f t="shared" si="3"/>
        <v>0</v>
      </c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</row>
    <row r="29" spans="1:32">
      <c r="A29" s="914"/>
      <c r="B29" s="1006" t="s">
        <v>434</v>
      </c>
      <c r="C29" s="744" t="s">
        <v>104</v>
      </c>
      <c r="D29" s="915"/>
      <c r="E29" s="915">
        <v>2</v>
      </c>
      <c r="F29" s="915"/>
      <c r="G29" s="746">
        <f>E29*F29</f>
        <v>0</v>
      </c>
      <c r="H29" s="908"/>
      <c r="I29" s="784"/>
      <c r="J29" s="784"/>
      <c r="K29" s="784"/>
      <c r="L29" s="746">
        <f t="shared" si="3"/>
        <v>0</v>
      </c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</row>
    <row r="30" spans="1:32">
      <c r="A30" s="515"/>
      <c r="B30" s="154" t="s">
        <v>54</v>
      </c>
      <c r="C30" s="151" t="s">
        <v>2</v>
      </c>
      <c r="D30" s="237">
        <v>1.99</v>
      </c>
      <c r="E30" s="238">
        <f>D30*E21</f>
        <v>21.080069999999999</v>
      </c>
      <c r="F30" s="234"/>
      <c r="G30" s="73">
        <f>E30*F30</f>
        <v>0</v>
      </c>
      <c r="H30" s="269"/>
      <c r="I30" s="515"/>
      <c r="J30" s="515"/>
      <c r="K30" s="515"/>
      <c r="L30" s="73">
        <f t="shared" si="3"/>
        <v>0</v>
      </c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</row>
    <row r="31" spans="1:32" s="13" customFormat="1" ht="27">
      <c r="A31" s="347">
        <v>5</v>
      </c>
      <c r="B31" s="339" t="s">
        <v>72</v>
      </c>
      <c r="C31" s="347" t="s">
        <v>163</v>
      </c>
      <c r="D31" s="489"/>
      <c r="E31" s="475">
        <v>1.36</v>
      </c>
      <c r="F31" s="353"/>
      <c r="G31" s="354"/>
      <c r="H31" s="353"/>
      <c r="I31" s="354"/>
      <c r="J31" s="353"/>
      <c r="K31" s="354"/>
      <c r="L31" s="354"/>
      <c r="M31" s="155"/>
      <c r="N31" s="128"/>
      <c r="O31" s="197"/>
      <c r="P31" s="207"/>
      <c r="Q31" s="197"/>
      <c r="R31" s="197"/>
      <c r="S31" s="205"/>
      <c r="T31" s="298"/>
      <c r="U31" s="197"/>
      <c r="V31" s="197"/>
    </row>
    <row r="32" spans="1:32" s="13" customFormat="1" ht="15.75">
      <c r="A32" s="886"/>
      <c r="B32" s="121" t="s">
        <v>45</v>
      </c>
      <c r="C32" s="1002" t="s">
        <v>165</v>
      </c>
      <c r="D32" s="123">
        <v>1</v>
      </c>
      <c r="E32" s="124">
        <f>D32*E31</f>
        <v>1.36</v>
      </c>
      <c r="F32" s="125"/>
      <c r="G32" s="73"/>
      <c r="H32" s="125"/>
      <c r="I32" s="73">
        <f>H32*E32</f>
        <v>0</v>
      </c>
      <c r="J32" s="125"/>
      <c r="K32" s="73"/>
      <c r="L32" s="73">
        <f>K32+I32+G32</f>
        <v>0</v>
      </c>
      <c r="M32" s="223"/>
      <c r="N32" s="128"/>
      <c r="O32" s="197"/>
      <c r="P32" s="207"/>
      <c r="Q32" s="197"/>
      <c r="R32" s="197"/>
      <c r="S32" s="267"/>
      <c r="T32" s="298"/>
      <c r="U32" s="197"/>
      <c r="V32" s="197"/>
    </row>
    <row r="33" spans="1:25" s="13" customFormat="1">
      <c r="A33" s="117"/>
      <c r="B33" s="121" t="s">
        <v>53</v>
      </c>
      <c r="C33" s="886" t="s">
        <v>70</v>
      </c>
      <c r="D33" s="631">
        <v>2.9999999999999997E-4</v>
      </c>
      <c r="E33" s="104">
        <f>D33*E31</f>
        <v>4.08E-4</v>
      </c>
      <c r="F33" s="103"/>
      <c r="G33" s="156"/>
      <c r="H33" s="104"/>
      <c r="I33" s="136"/>
      <c r="J33" s="104"/>
      <c r="K33" s="127">
        <f>J33*E33</f>
        <v>0</v>
      </c>
      <c r="L33" s="104">
        <f>K33+I33+G33</f>
        <v>0</v>
      </c>
      <c r="M33" s="223"/>
      <c r="N33" s="128"/>
      <c r="O33" s="197"/>
      <c r="P33" s="207"/>
      <c r="Q33" s="197"/>
      <c r="R33" s="197"/>
      <c r="S33" s="197"/>
      <c r="T33" s="298"/>
      <c r="U33" s="197"/>
      <c r="V33" s="197"/>
    </row>
    <row r="34" spans="1:25" s="13" customFormat="1">
      <c r="A34" s="742"/>
      <c r="B34" s="763" t="s">
        <v>383</v>
      </c>
      <c r="C34" s="742" t="s">
        <v>60</v>
      </c>
      <c r="D34" s="781">
        <f>(25.1+0.2+2.7)*0.01</f>
        <v>0.28000000000000003</v>
      </c>
      <c r="E34" s="781">
        <f>D34*E31</f>
        <v>0.38080000000000008</v>
      </c>
      <c r="F34" s="753"/>
      <c r="G34" s="746">
        <f>F34*E34</f>
        <v>0</v>
      </c>
      <c r="H34" s="753"/>
      <c r="I34" s="746"/>
      <c r="J34" s="753"/>
      <c r="K34" s="746"/>
      <c r="L34" s="746">
        <f>K34+I34+G34</f>
        <v>0</v>
      </c>
      <c r="M34" s="1104"/>
      <c r="N34" s="1105"/>
      <c r="O34" s="197"/>
      <c r="P34" s="207"/>
      <c r="Q34" s="197"/>
      <c r="R34" s="197"/>
      <c r="S34" s="197"/>
      <c r="T34" s="298"/>
      <c r="U34" s="197"/>
      <c r="V34" s="197"/>
    </row>
    <row r="35" spans="1:25" s="391" customFormat="1" ht="21.95" customHeight="1">
      <c r="A35" s="742"/>
      <c r="B35" s="763" t="s">
        <v>73</v>
      </c>
      <c r="C35" s="801" t="s">
        <v>60</v>
      </c>
      <c r="D35" s="802">
        <v>0.15</v>
      </c>
      <c r="E35" s="803">
        <f>D35*E31</f>
        <v>0.20400000000000001</v>
      </c>
      <c r="F35" s="746"/>
      <c r="G35" s="746">
        <f>F35*E35</f>
        <v>0</v>
      </c>
      <c r="H35" s="742"/>
      <c r="I35" s="746"/>
      <c r="J35" s="742"/>
      <c r="K35" s="742"/>
      <c r="L35" s="746">
        <f>K35+I35+G35</f>
        <v>0</v>
      </c>
      <c r="M35" s="262"/>
    </row>
    <row r="36" spans="1:25" s="13" customFormat="1">
      <c r="A36" s="117"/>
      <c r="B36" s="157" t="s">
        <v>54</v>
      </c>
      <c r="C36" s="886" t="s">
        <v>2</v>
      </c>
      <c r="D36" s="631">
        <v>1.9E-3</v>
      </c>
      <c r="E36" s="104">
        <f>D36*E31</f>
        <v>2.5840000000000004E-3</v>
      </c>
      <c r="F36" s="104"/>
      <c r="G36" s="127">
        <f>F36*E36</f>
        <v>0</v>
      </c>
      <c r="H36" s="104"/>
      <c r="I36" s="136"/>
      <c r="J36" s="135"/>
      <c r="K36" s="136"/>
      <c r="L36" s="127">
        <f>K36+I36+G36</f>
        <v>0</v>
      </c>
      <c r="M36" s="223"/>
      <c r="N36" s="128"/>
      <c r="O36" s="197"/>
      <c r="P36" s="207"/>
      <c r="Q36" s="197"/>
      <c r="R36" s="197"/>
      <c r="S36" s="197"/>
      <c r="T36" s="298"/>
      <c r="U36" s="197"/>
      <c r="V36" s="197"/>
    </row>
    <row r="37" spans="1:25">
      <c r="A37" s="520">
        <v>6</v>
      </c>
      <c r="B37" s="1033" t="s">
        <v>459</v>
      </c>
      <c r="C37" s="951" t="s">
        <v>69</v>
      </c>
      <c r="D37" s="1034"/>
      <c r="E37" s="1035">
        <v>12</v>
      </c>
      <c r="F37" s="1036"/>
      <c r="G37" s="892"/>
      <c r="H37" s="940"/>
      <c r="I37" s="738"/>
      <c r="J37" s="738"/>
      <c r="K37" s="738"/>
      <c r="L37" s="892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</row>
    <row r="38" spans="1:25">
      <c r="A38" s="742"/>
      <c r="B38" s="911" t="s">
        <v>45</v>
      </c>
      <c r="C38" s="835" t="s">
        <v>46</v>
      </c>
      <c r="D38" s="835">
        <v>0.11899999999999999</v>
      </c>
      <c r="E38" s="835">
        <f>D38*E37</f>
        <v>1.4279999999999999</v>
      </c>
      <c r="F38" s="742"/>
      <c r="G38" s="742"/>
      <c r="H38" s="912"/>
      <c r="I38" s="746">
        <f>H38*E38</f>
        <v>0</v>
      </c>
      <c r="J38" s="742"/>
      <c r="K38" s="746"/>
      <c r="L38" s="746">
        <f>K38+I38+G38</f>
        <v>0</v>
      </c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</row>
    <row r="39" spans="1:25">
      <c r="A39" s="742"/>
      <c r="B39" s="911" t="s">
        <v>53</v>
      </c>
      <c r="C39" s="835" t="s">
        <v>2</v>
      </c>
      <c r="D39" s="905">
        <v>6.7500000000000004E-2</v>
      </c>
      <c r="E39" s="913">
        <f>D39*E37</f>
        <v>0.81</v>
      </c>
      <c r="F39" s="742"/>
      <c r="G39" s="742"/>
      <c r="H39" s="912"/>
      <c r="I39" s="742"/>
      <c r="J39" s="742"/>
      <c r="K39" s="746">
        <f>E39*J39</f>
        <v>0</v>
      </c>
      <c r="L39" s="746">
        <f>K39+I39+G39</f>
        <v>0</v>
      </c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</row>
    <row r="40" spans="1:25">
      <c r="A40" s="632"/>
      <c r="B40" s="812" t="s">
        <v>460</v>
      </c>
      <c r="C40" s="835" t="s">
        <v>69</v>
      </c>
      <c r="D40" s="905">
        <v>1</v>
      </c>
      <c r="E40" s="906">
        <f>D40*E37</f>
        <v>12</v>
      </c>
      <c r="F40" s="746"/>
      <c r="G40" s="746">
        <f>E40*F40</f>
        <v>0</v>
      </c>
      <c r="H40" s="908"/>
      <c r="I40" s="784"/>
      <c r="J40" s="784"/>
      <c r="K40" s="784"/>
      <c r="L40" s="746">
        <f>K40+I40+G40</f>
        <v>0</v>
      </c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</row>
    <row r="41" spans="1:25">
      <c r="A41" s="632"/>
      <c r="B41" s="1037" t="s">
        <v>249</v>
      </c>
      <c r="C41" s="835" t="s">
        <v>65</v>
      </c>
      <c r="D41" s="905"/>
      <c r="E41" s="906">
        <v>2</v>
      </c>
      <c r="F41" s="742"/>
      <c r="G41" s="746">
        <f t="shared" ref="G41:G43" si="4">E41*F41</f>
        <v>0</v>
      </c>
      <c r="H41" s="908"/>
      <c r="I41" s="784"/>
      <c r="J41" s="784"/>
      <c r="K41" s="784"/>
      <c r="L41" s="746">
        <f t="shared" ref="L41:L43" si="5">K41+I41+G41</f>
        <v>0</v>
      </c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</row>
    <row r="42" spans="1:25">
      <c r="A42" s="632"/>
      <c r="B42" s="1037" t="s">
        <v>251</v>
      </c>
      <c r="C42" s="835" t="s">
        <v>65</v>
      </c>
      <c r="D42" s="905"/>
      <c r="E42" s="906">
        <v>4</v>
      </c>
      <c r="F42" s="742"/>
      <c r="G42" s="746">
        <f t="shared" si="4"/>
        <v>0</v>
      </c>
      <c r="H42" s="908"/>
      <c r="I42" s="784"/>
      <c r="J42" s="784"/>
      <c r="K42" s="784"/>
      <c r="L42" s="746">
        <f t="shared" si="5"/>
        <v>0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</row>
    <row r="43" spans="1:25">
      <c r="A43" s="632"/>
      <c r="B43" s="1037" t="s">
        <v>250</v>
      </c>
      <c r="C43" s="835" t="s">
        <v>65</v>
      </c>
      <c r="D43" s="905"/>
      <c r="E43" s="906">
        <v>1</v>
      </c>
      <c r="F43" s="742"/>
      <c r="G43" s="746">
        <f t="shared" si="4"/>
        <v>0</v>
      </c>
      <c r="H43" s="908"/>
      <c r="I43" s="784"/>
      <c r="J43" s="784"/>
      <c r="K43" s="784"/>
      <c r="L43" s="746">
        <f t="shared" si="5"/>
        <v>0</v>
      </c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</row>
    <row r="44" spans="1:25">
      <c r="A44" s="784"/>
      <c r="B44" s="812" t="s">
        <v>54</v>
      </c>
      <c r="C44" s="835" t="s">
        <v>2</v>
      </c>
      <c r="D44" s="905">
        <v>5.9299999999999999E-2</v>
      </c>
      <c r="E44" s="906">
        <f>D44*E37</f>
        <v>0.71160000000000001</v>
      </c>
      <c r="F44" s="907"/>
      <c r="G44" s="746">
        <f>E44*F44</f>
        <v>0</v>
      </c>
      <c r="H44" s="908"/>
      <c r="I44" s="784"/>
      <c r="J44" s="784"/>
      <c r="K44" s="784"/>
      <c r="L44" s="746">
        <f>K44+I44+G44</f>
        <v>0</v>
      </c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</row>
    <row r="45" spans="1:25">
      <c r="A45" s="784"/>
      <c r="B45" s="812"/>
      <c r="C45" s="835"/>
      <c r="D45" s="905"/>
      <c r="E45" s="906"/>
      <c r="F45" s="907"/>
      <c r="G45" s="742"/>
      <c r="H45" s="908"/>
      <c r="I45" s="784"/>
      <c r="J45" s="784"/>
      <c r="K45" s="784"/>
      <c r="L45" s="746"/>
    </row>
    <row r="46" spans="1:25" ht="45" customHeight="1">
      <c r="A46" s="340">
        <v>7</v>
      </c>
      <c r="B46" s="358" t="s">
        <v>132</v>
      </c>
      <c r="C46" s="359" t="s">
        <v>69</v>
      </c>
      <c r="D46" s="359"/>
      <c r="E46" s="359">
        <v>18</v>
      </c>
      <c r="F46" s="340"/>
      <c r="G46" s="340"/>
      <c r="H46" s="371"/>
      <c r="I46" s="340"/>
      <c r="J46" s="340"/>
      <c r="K46" s="340"/>
      <c r="L46" s="340"/>
    </row>
    <row r="47" spans="1:25">
      <c r="A47" s="320"/>
      <c r="B47" s="236" t="s">
        <v>45</v>
      </c>
      <c r="C47" s="151" t="s">
        <v>46</v>
      </c>
      <c r="D47" s="151">
        <v>0.11899999999999999</v>
      </c>
      <c r="E47" s="151">
        <f>D47*E46</f>
        <v>2.1419999999999999</v>
      </c>
      <c r="F47" s="292"/>
      <c r="G47" s="292"/>
      <c r="H47" s="293"/>
      <c r="I47" s="73">
        <f>H47*E47</f>
        <v>0</v>
      </c>
      <c r="J47" s="292"/>
      <c r="K47" s="73"/>
      <c r="L47" s="73">
        <f t="shared" ref="L47:L53" si="6">K47+I47+G47</f>
        <v>0</v>
      </c>
    </row>
    <row r="48" spans="1:25">
      <c r="A48" s="320"/>
      <c r="B48" s="236" t="s">
        <v>53</v>
      </c>
      <c r="C48" s="151" t="s">
        <v>2</v>
      </c>
      <c r="D48" s="237">
        <v>6.7500000000000004E-2</v>
      </c>
      <c r="E48" s="250">
        <f>D48*E46</f>
        <v>1.2150000000000001</v>
      </c>
      <c r="F48" s="292"/>
      <c r="G48" s="292"/>
      <c r="H48" s="293"/>
      <c r="I48" s="292"/>
      <c r="J48" s="292"/>
      <c r="K48" s="73">
        <f>E48*J48</f>
        <v>0</v>
      </c>
      <c r="L48" s="73">
        <f t="shared" si="6"/>
        <v>0</v>
      </c>
    </row>
    <row r="49" spans="1:25">
      <c r="A49" s="320"/>
      <c r="B49" s="236" t="s">
        <v>168</v>
      </c>
      <c r="C49" s="151" t="s">
        <v>69</v>
      </c>
      <c r="D49" s="237">
        <v>1</v>
      </c>
      <c r="E49" s="238">
        <f>D49*E46</f>
        <v>18</v>
      </c>
      <c r="F49" s="73"/>
      <c r="G49" s="125">
        <f t="shared" ref="G49:G53" si="7">E49*F49</f>
        <v>0</v>
      </c>
      <c r="H49" s="897"/>
      <c r="I49" s="292"/>
      <c r="J49" s="292"/>
      <c r="K49" s="292"/>
      <c r="L49" s="73">
        <f t="shared" si="6"/>
        <v>0</v>
      </c>
    </row>
    <row r="50" spans="1:25">
      <c r="A50" s="332"/>
      <c r="B50" s="657" t="s">
        <v>187</v>
      </c>
      <c r="C50" s="151" t="s">
        <v>65</v>
      </c>
      <c r="D50" s="151"/>
      <c r="E50" s="151">
        <v>2</v>
      </c>
      <c r="F50" s="896"/>
      <c r="G50" s="73">
        <f t="shared" si="7"/>
        <v>0</v>
      </c>
      <c r="H50" s="897"/>
      <c r="I50" s="332"/>
      <c r="J50" s="332"/>
      <c r="K50" s="332"/>
      <c r="L50" s="73">
        <f t="shared" si="6"/>
        <v>0</v>
      </c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</row>
    <row r="51" spans="1:25">
      <c r="A51" s="320"/>
      <c r="B51" s="240" t="s">
        <v>169</v>
      </c>
      <c r="C51" s="151" t="s">
        <v>65</v>
      </c>
      <c r="D51" s="151"/>
      <c r="E51" s="151">
        <v>2</v>
      </c>
      <c r="F51" s="896"/>
      <c r="G51" s="73">
        <f t="shared" si="7"/>
        <v>0</v>
      </c>
      <c r="H51" s="897"/>
      <c r="I51" s="292"/>
      <c r="J51" s="292"/>
      <c r="K51" s="292"/>
      <c r="L51" s="73">
        <f t="shared" si="6"/>
        <v>0</v>
      </c>
    </row>
    <row r="52" spans="1:25">
      <c r="A52" s="320"/>
      <c r="B52" s="240" t="s">
        <v>170</v>
      </c>
      <c r="C52" s="151" t="s">
        <v>65</v>
      </c>
      <c r="D52" s="151"/>
      <c r="E52" s="151">
        <v>2</v>
      </c>
      <c r="F52" s="896"/>
      <c r="G52" s="73">
        <f t="shared" si="7"/>
        <v>0</v>
      </c>
      <c r="H52" s="897"/>
      <c r="I52" s="292"/>
      <c r="J52" s="292"/>
      <c r="K52" s="292"/>
      <c r="L52" s="73">
        <f t="shared" si="6"/>
        <v>0</v>
      </c>
    </row>
    <row r="53" spans="1:25">
      <c r="A53" s="322"/>
      <c r="B53" s="154" t="s">
        <v>54</v>
      </c>
      <c r="C53" s="151" t="s">
        <v>2</v>
      </c>
      <c r="D53" s="237">
        <v>2.16E-3</v>
      </c>
      <c r="E53" s="238">
        <f>D53*E46</f>
        <v>3.8879999999999998E-2</v>
      </c>
      <c r="F53" s="234"/>
      <c r="G53" s="73">
        <f t="shared" si="7"/>
        <v>0</v>
      </c>
      <c r="H53" s="269"/>
      <c r="I53" s="295"/>
      <c r="J53" s="295"/>
      <c r="K53" s="295"/>
      <c r="L53" s="73">
        <f t="shared" si="6"/>
        <v>0</v>
      </c>
    </row>
    <row r="54" spans="1:25" s="433" customFormat="1">
      <c r="A54" s="643"/>
      <c r="B54" s="644"/>
      <c r="C54" s="638"/>
      <c r="D54" s="645"/>
      <c r="E54" s="646"/>
      <c r="F54" s="646"/>
      <c r="G54" s="639"/>
      <c r="H54" s="646"/>
      <c r="I54" s="642"/>
      <c r="J54" s="646"/>
      <c r="K54" s="636"/>
      <c r="L54" s="641"/>
    </row>
    <row r="55" spans="1:25">
      <c r="A55" s="385"/>
      <c r="B55" s="385" t="s">
        <v>127</v>
      </c>
      <c r="C55" s="385"/>
      <c r="D55" s="386"/>
      <c r="E55" s="385"/>
      <c r="F55" s="385"/>
      <c r="G55" s="387">
        <f>SUM(G11:G54)</f>
        <v>0</v>
      </c>
      <c r="H55" s="388"/>
      <c r="I55" s="387">
        <f>SUM(I11:I54)</f>
        <v>0</v>
      </c>
      <c r="J55" s="387"/>
      <c r="K55" s="387">
        <f>SUM(K11:K54)</f>
        <v>0</v>
      </c>
      <c r="L55" s="387">
        <f>SUM(L11:L54)</f>
        <v>0</v>
      </c>
    </row>
    <row r="56" spans="1:25" s="197" customFormat="1" ht="16.5" customHeight="1">
      <c r="A56" s="750"/>
      <c r="B56" s="763" t="s">
        <v>356</v>
      </c>
      <c r="C56" s="899">
        <v>0.05</v>
      </c>
      <c r="D56" s="752"/>
      <c r="E56" s="753"/>
      <c r="F56" s="753"/>
      <c r="G56" s="756"/>
      <c r="H56" s="753"/>
      <c r="I56" s="756"/>
      <c r="J56" s="755"/>
      <c r="K56" s="756"/>
      <c r="L56" s="756">
        <f>G55*C56</f>
        <v>0</v>
      </c>
      <c r="M56" s="155"/>
      <c r="N56" s="128"/>
      <c r="T56" s="298"/>
    </row>
    <row r="57" spans="1:25" s="197" customFormat="1" ht="16.5" customHeight="1">
      <c r="A57" s="750"/>
      <c r="B57" s="129" t="s">
        <v>21</v>
      </c>
      <c r="C57" s="742"/>
      <c r="D57" s="752"/>
      <c r="E57" s="753"/>
      <c r="F57" s="753"/>
      <c r="G57" s="756"/>
      <c r="H57" s="753"/>
      <c r="I57" s="756"/>
      <c r="J57" s="755"/>
      <c r="K57" s="756"/>
      <c r="L57" s="900">
        <f>L55+L56</f>
        <v>0</v>
      </c>
      <c r="M57" s="155"/>
      <c r="N57" s="128"/>
      <c r="T57" s="298"/>
    </row>
    <row r="58" spans="1:25">
      <c r="A58" s="322"/>
      <c r="B58" s="292" t="s">
        <v>94</v>
      </c>
      <c r="C58" s="215">
        <v>0.1</v>
      </c>
      <c r="D58" s="292"/>
      <c r="E58" s="215"/>
      <c r="F58" s="292"/>
      <c r="G58" s="216"/>
      <c r="H58" s="293"/>
      <c r="I58" s="216"/>
      <c r="J58" s="216"/>
      <c r="K58" s="216"/>
      <c r="L58" s="216">
        <f>L57*C58</f>
        <v>0</v>
      </c>
    </row>
    <row r="59" spans="1:25">
      <c r="A59" s="322"/>
      <c r="B59" s="292" t="s">
        <v>21</v>
      </c>
      <c r="C59" s="295"/>
      <c r="D59" s="292"/>
      <c r="E59" s="295"/>
      <c r="F59" s="295"/>
      <c r="G59" s="217"/>
      <c r="H59" s="269"/>
      <c r="I59" s="217"/>
      <c r="J59" s="217"/>
      <c r="K59" s="217"/>
      <c r="L59" s="217">
        <f>L57+L58</f>
        <v>0</v>
      </c>
    </row>
    <row r="60" spans="1:25">
      <c r="A60" s="322"/>
      <c r="B60" s="292" t="s">
        <v>97</v>
      </c>
      <c r="C60" s="215">
        <v>0.08</v>
      </c>
      <c r="D60" s="292"/>
      <c r="E60" s="215"/>
      <c r="F60" s="292"/>
      <c r="G60" s="216"/>
      <c r="H60" s="293"/>
      <c r="I60" s="216"/>
      <c r="J60" s="216"/>
      <c r="K60" s="216"/>
      <c r="L60" s="216">
        <f>L59*C60</f>
        <v>0</v>
      </c>
    </row>
    <row r="61" spans="1:25">
      <c r="A61" s="322"/>
      <c r="B61" s="292" t="s">
        <v>21</v>
      </c>
      <c r="C61" s="295"/>
      <c r="D61" s="292"/>
      <c r="E61" s="295"/>
      <c r="F61" s="295"/>
      <c r="G61" s="217"/>
      <c r="H61" s="269"/>
      <c r="I61" s="217"/>
      <c r="J61" s="217"/>
      <c r="K61" s="217"/>
      <c r="L61" s="217">
        <f>SUM(L59:L60)</f>
        <v>0</v>
      </c>
    </row>
    <row r="62" spans="1:25" ht="21">
      <c r="A62" s="252"/>
      <c r="B62" s="253"/>
      <c r="C62" s="254"/>
      <c r="D62" s="257"/>
      <c r="E62" s="257"/>
      <c r="F62" s="257"/>
      <c r="G62" s="257"/>
      <c r="H62" s="287"/>
      <c r="I62" s="257"/>
      <c r="J62" s="258"/>
      <c r="K62" s="257"/>
      <c r="L62" s="259"/>
    </row>
    <row r="63" spans="1:25">
      <c r="A63" s="48"/>
      <c r="B63" s="276"/>
      <c r="C63" s="50"/>
      <c r="D63" s="276"/>
      <c r="E63" s="276"/>
      <c r="F63" s="276"/>
      <c r="G63" s="276"/>
      <c r="H63" s="288"/>
      <c r="I63" s="276"/>
      <c r="J63" s="228"/>
      <c r="K63" s="276"/>
      <c r="L63" s="276"/>
    </row>
    <row r="64" spans="1:25">
      <c r="A64" s="48"/>
      <c r="B64" s="276"/>
      <c r="C64" s="50"/>
      <c r="D64" s="276"/>
      <c r="E64" s="276"/>
      <c r="F64" s="276"/>
      <c r="G64" s="276"/>
      <c r="H64" s="288"/>
      <c r="I64" s="276"/>
      <c r="J64" s="228"/>
      <c r="K64" s="276"/>
      <c r="L64" s="276"/>
    </row>
    <row r="65" spans="1:12">
      <c r="A65" s="48"/>
      <c r="B65" s="276"/>
      <c r="C65" s="50"/>
      <c r="D65" s="276"/>
      <c r="E65" s="276"/>
      <c r="F65" s="276"/>
      <c r="G65" s="276"/>
      <c r="H65" s="288"/>
      <c r="I65" s="276"/>
      <c r="J65" s="228"/>
      <c r="K65" s="276"/>
      <c r="L65" s="276"/>
    </row>
    <row r="66" spans="1:12">
      <c r="A66" s="48"/>
      <c r="B66" s="276"/>
      <c r="C66" s="50"/>
      <c r="D66" s="276"/>
      <c r="E66" s="276"/>
      <c r="F66" s="276"/>
      <c r="G66" s="276"/>
      <c r="H66" s="288"/>
      <c r="I66" s="276"/>
      <c r="J66" s="228"/>
      <c r="K66" s="276"/>
      <c r="L66" s="276"/>
    </row>
    <row r="67" spans="1:12">
      <c r="A67" s="48"/>
      <c r="B67" s="276"/>
      <c r="C67" s="50"/>
      <c r="D67" s="276"/>
      <c r="E67" s="276"/>
      <c r="F67" s="276"/>
      <c r="G67" s="276"/>
      <c r="H67" s="288"/>
      <c r="I67" s="276"/>
      <c r="J67" s="228"/>
      <c r="K67" s="276"/>
      <c r="L67" s="276"/>
    </row>
    <row r="68" spans="1:12">
      <c r="A68" s="48"/>
      <c r="B68" s="276"/>
      <c r="C68" s="50"/>
      <c r="D68" s="276"/>
      <c r="E68" s="276"/>
      <c r="F68" s="276"/>
      <c r="G68" s="276"/>
      <c r="H68" s="288"/>
      <c r="I68" s="276"/>
      <c r="J68" s="228"/>
      <c r="K68" s="276"/>
      <c r="L68" s="276"/>
    </row>
    <row r="69" spans="1:12">
      <c r="A69" s="48"/>
      <c r="B69" s="276"/>
      <c r="C69" s="50"/>
      <c r="D69" s="276"/>
      <c r="E69" s="276"/>
      <c r="F69" s="276"/>
      <c r="G69" s="276"/>
      <c r="H69" s="288"/>
      <c r="I69" s="276"/>
      <c r="J69" s="228"/>
      <c r="K69" s="276"/>
      <c r="L69" s="276"/>
    </row>
    <row r="70" spans="1:12">
      <c r="A70" s="48"/>
      <c r="B70" s="276"/>
      <c r="C70" s="50"/>
      <c r="D70" s="276"/>
      <c r="E70" s="276"/>
      <c r="F70" s="276"/>
      <c r="G70" s="276"/>
      <c r="H70" s="288"/>
      <c r="I70" s="276"/>
      <c r="J70" s="228"/>
      <c r="K70" s="276"/>
      <c r="L70" s="276"/>
    </row>
    <row r="71" spans="1:12">
      <c r="A71" s="48"/>
      <c r="B71" s="276"/>
      <c r="C71" s="50"/>
      <c r="D71" s="276"/>
      <c r="E71" s="276"/>
      <c r="F71" s="276"/>
      <c r="G71" s="276"/>
      <c r="H71" s="288"/>
      <c r="I71" s="276"/>
      <c r="J71" s="228"/>
      <c r="K71" s="276"/>
      <c r="L71" s="276"/>
    </row>
    <row r="72" spans="1:12">
      <c r="A72" s="48"/>
      <c r="B72" s="276"/>
      <c r="C72" s="50"/>
      <c r="D72" s="276"/>
      <c r="E72" s="276"/>
      <c r="F72" s="276"/>
      <c r="G72" s="276"/>
      <c r="H72" s="288"/>
      <c r="I72" s="276"/>
      <c r="J72" s="228"/>
      <c r="K72" s="276"/>
      <c r="L72" s="276"/>
    </row>
    <row r="73" spans="1:12">
      <c r="A73" s="48"/>
      <c r="B73" s="276"/>
      <c r="C73" s="50"/>
      <c r="D73" s="276"/>
      <c r="E73" s="276"/>
      <c r="F73" s="276"/>
      <c r="G73" s="276"/>
      <c r="H73" s="288"/>
      <c r="I73" s="276"/>
      <c r="J73" s="228"/>
      <c r="K73" s="276"/>
      <c r="L73" s="276"/>
    </row>
    <row r="74" spans="1:12">
      <c r="A74" s="48"/>
      <c r="B74" s="276"/>
      <c r="C74" s="50"/>
      <c r="D74" s="276"/>
      <c r="E74" s="276"/>
      <c r="F74" s="276"/>
      <c r="G74" s="276"/>
      <c r="H74" s="288"/>
      <c r="I74" s="276"/>
      <c r="J74" s="228"/>
      <c r="K74" s="276"/>
      <c r="L74" s="276"/>
    </row>
    <row r="75" spans="1:12">
      <c r="A75" s="48"/>
      <c r="B75" s="276"/>
      <c r="C75" s="50"/>
      <c r="D75" s="276"/>
      <c r="E75" s="276"/>
      <c r="F75" s="276"/>
      <c r="G75" s="276"/>
      <c r="H75" s="288"/>
      <c r="I75" s="276"/>
      <c r="J75" s="228"/>
      <c r="K75" s="276"/>
      <c r="L75" s="276"/>
    </row>
    <row r="76" spans="1:12">
      <c r="A76" s="48"/>
      <c r="B76" s="276"/>
      <c r="C76" s="50"/>
      <c r="D76" s="276"/>
      <c r="E76" s="276"/>
      <c r="F76" s="276"/>
      <c r="G76" s="276"/>
      <c r="H76" s="288"/>
      <c r="I76" s="276"/>
      <c r="J76" s="228"/>
      <c r="K76" s="276"/>
      <c r="L76" s="276"/>
    </row>
    <row r="77" spans="1:12">
      <c r="A77" s="48"/>
      <c r="B77" s="276"/>
      <c r="C77" s="50"/>
      <c r="D77" s="276"/>
      <c r="E77" s="276"/>
      <c r="F77" s="276"/>
      <c r="G77" s="276"/>
      <c r="H77" s="288"/>
      <c r="I77" s="276"/>
      <c r="J77" s="228"/>
      <c r="K77" s="276"/>
      <c r="L77" s="276"/>
    </row>
    <row r="78" spans="1:12" ht="32.450000000000003" customHeight="1">
      <c r="A78" s="48"/>
      <c r="B78" s="276"/>
      <c r="C78" s="50"/>
      <c r="D78" s="276"/>
      <c r="E78" s="276"/>
      <c r="F78" s="276"/>
      <c r="G78" s="276"/>
      <c r="H78" s="288"/>
      <c r="I78" s="276"/>
      <c r="J78" s="228"/>
      <c r="K78" s="276"/>
      <c r="L78" s="276"/>
    </row>
    <row r="79" spans="1:12">
      <c r="A79" s="48"/>
      <c r="B79" s="276"/>
      <c r="C79" s="50"/>
      <c r="D79" s="276"/>
      <c r="E79" s="276"/>
      <c r="F79" s="276"/>
      <c r="G79" s="276"/>
      <c r="H79" s="288"/>
      <c r="I79" s="276"/>
      <c r="J79" s="228"/>
      <c r="K79" s="276"/>
      <c r="L79" s="276"/>
    </row>
    <row r="80" spans="1:12">
      <c r="A80" s="48"/>
      <c r="B80" s="276"/>
      <c r="C80" s="50"/>
      <c r="D80" s="276"/>
      <c r="E80" s="276"/>
      <c r="F80" s="276"/>
      <c r="G80" s="276"/>
      <c r="H80" s="288"/>
      <c r="I80" s="276"/>
      <c r="J80" s="228"/>
      <c r="K80" s="276"/>
      <c r="L80" s="276"/>
    </row>
    <row r="81" spans="1:12">
      <c r="A81" s="48"/>
      <c r="B81" s="276"/>
      <c r="C81" s="50"/>
      <c r="D81" s="276"/>
      <c r="E81" s="276"/>
      <c r="F81" s="276"/>
      <c r="G81" s="276"/>
      <c r="H81" s="288"/>
      <c r="I81" s="276"/>
      <c r="J81" s="228"/>
      <c r="K81" s="276"/>
      <c r="L81" s="276"/>
    </row>
    <row r="82" spans="1:12">
      <c r="A82" s="48"/>
      <c r="B82" s="276"/>
      <c r="C82" s="50"/>
      <c r="D82" s="276"/>
      <c r="E82" s="276"/>
      <c r="F82" s="276"/>
      <c r="G82" s="276"/>
      <c r="H82" s="288"/>
      <c r="I82" s="276"/>
      <c r="J82" s="228"/>
      <c r="K82" s="276"/>
      <c r="L82" s="276"/>
    </row>
    <row r="83" spans="1:12">
      <c r="A83" s="48"/>
      <c r="B83" s="276"/>
      <c r="C83" s="50"/>
      <c r="D83" s="276"/>
      <c r="E83" s="276"/>
      <c r="F83" s="276"/>
      <c r="G83" s="276"/>
      <c r="H83" s="288"/>
      <c r="I83" s="276"/>
      <c r="J83" s="228"/>
      <c r="K83" s="276"/>
      <c r="L83" s="276"/>
    </row>
    <row r="84" spans="1:12">
      <c r="A84" s="48"/>
      <c r="B84" s="276"/>
      <c r="C84" s="50"/>
      <c r="D84" s="276"/>
      <c r="E84" s="276"/>
      <c r="F84" s="276"/>
      <c r="G84" s="276"/>
      <c r="H84" s="288"/>
      <c r="I84" s="276"/>
      <c r="J84" s="228"/>
      <c r="K84" s="276"/>
      <c r="L84" s="276"/>
    </row>
    <row r="85" spans="1:12">
      <c r="A85" s="48"/>
      <c r="B85" s="276"/>
      <c r="C85" s="50"/>
      <c r="D85" s="276"/>
      <c r="E85" s="276"/>
      <c r="F85" s="276"/>
      <c r="G85" s="276"/>
      <c r="H85" s="288"/>
      <c r="I85" s="276"/>
      <c r="J85" s="228"/>
      <c r="K85" s="276"/>
      <c r="L85" s="276"/>
    </row>
    <row r="86" spans="1:12">
      <c r="A86" s="48"/>
      <c r="B86" s="276"/>
      <c r="C86" s="50"/>
      <c r="D86" s="276"/>
      <c r="E86" s="276"/>
      <c r="F86" s="276"/>
      <c r="G86" s="276"/>
      <c r="H86" s="288"/>
      <c r="I86" s="276"/>
      <c r="J86" s="228"/>
      <c r="K86" s="276"/>
      <c r="L86" s="276"/>
    </row>
    <row r="87" spans="1:12">
      <c r="A87" s="48"/>
      <c r="B87" s="276"/>
      <c r="C87" s="50"/>
      <c r="D87" s="276"/>
      <c r="E87" s="276"/>
      <c r="F87" s="276"/>
      <c r="G87" s="276"/>
      <c r="H87" s="288"/>
      <c r="I87" s="276"/>
      <c r="J87" s="228"/>
      <c r="K87" s="276"/>
      <c r="L87" s="276"/>
    </row>
    <row r="88" spans="1:12">
      <c r="A88" s="48"/>
      <c r="B88" s="276"/>
      <c r="C88" s="50"/>
      <c r="D88" s="276"/>
      <c r="E88" s="276"/>
      <c r="F88" s="276"/>
      <c r="G88" s="276"/>
      <c r="H88" s="288"/>
      <c r="I88" s="276"/>
      <c r="J88" s="228"/>
      <c r="K88" s="276"/>
      <c r="L88" s="276"/>
    </row>
    <row r="89" spans="1:12">
      <c r="A89" s="48"/>
      <c r="B89" s="276"/>
      <c r="C89" s="50"/>
      <c r="D89" s="276"/>
      <c r="E89" s="276"/>
      <c r="F89" s="276"/>
      <c r="G89" s="276"/>
      <c r="H89" s="288"/>
      <c r="I89" s="276"/>
      <c r="J89" s="228"/>
      <c r="K89" s="276"/>
      <c r="L89" s="276"/>
    </row>
    <row r="90" spans="1:12">
      <c r="A90" s="48"/>
      <c r="B90" s="276"/>
      <c r="C90" s="50"/>
      <c r="D90" s="276"/>
      <c r="E90" s="276"/>
      <c r="F90" s="276"/>
      <c r="G90" s="276"/>
      <c r="H90" s="288"/>
      <c r="I90" s="276"/>
      <c r="J90" s="228"/>
      <c r="K90" s="276"/>
      <c r="L90" s="276"/>
    </row>
    <row r="91" spans="1:12">
      <c r="A91" s="48"/>
      <c r="B91" s="276"/>
      <c r="C91" s="50"/>
      <c r="D91" s="276"/>
      <c r="E91" s="276"/>
      <c r="F91" s="276"/>
      <c r="G91" s="276"/>
      <c r="H91" s="288"/>
      <c r="I91" s="276"/>
      <c r="J91" s="228"/>
      <c r="K91" s="276"/>
      <c r="L91" s="276"/>
    </row>
    <row r="92" spans="1:12">
      <c r="A92" s="48"/>
      <c r="B92" s="276"/>
      <c r="C92" s="50"/>
      <c r="D92" s="276"/>
      <c r="E92" s="276"/>
      <c r="F92" s="276"/>
      <c r="G92" s="276"/>
      <c r="H92" s="288"/>
      <c r="I92" s="276"/>
      <c r="J92" s="228"/>
      <c r="K92" s="276"/>
      <c r="L92" s="276"/>
    </row>
    <row r="93" spans="1:12">
      <c r="A93" s="48"/>
      <c r="B93" s="276"/>
      <c r="C93" s="50"/>
      <c r="D93" s="276"/>
      <c r="E93" s="276"/>
      <c r="F93" s="276"/>
      <c r="G93" s="276"/>
      <c r="H93" s="288"/>
      <c r="I93" s="276"/>
      <c r="J93" s="228"/>
      <c r="K93" s="276"/>
      <c r="L93" s="276"/>
    </row>
    <row r="94" spans="1:12">
      <c r="A94" s="48"/>
      <c r="B94" s="276"/>
      <c r="C94" s="50"/>
      <c r="D94" s="276"/>
      <c r="E94" s="276"/>
      <c r="F94" s="276"/>
      <c r="G94" s="276"/>
      <c r="H94" s="288"/>
      <c r="I94" s="276"/>
      <c r="J94" s="228"/>
      <c r="K94" s="276"/>
      <c r="L94" s="276"/>
    </row>
    <row r="95" spans="1:12">
      <c r="A95" s="48"/>
      <c r="B95" s="276"/>
      <c r="C95" s="50"/>
      <c r="D95" s="276"/>
      <c r="E95" s="276"/>
      <c r="F95" s="276"/>
      <c r="G95" s="276"/>
      <c r="H95" s="288"/>
      <c r="I95" s="276"/>
      <c r="J95" s="228"/>
      <c r="K95" s="276"/>
      <c r="L95" s="276"/>
    </row>
    <row r="96" spans="1:12">
      <c r="A96" s="48"/>
      <c r="B96" s="276"/>
      <c r="C96" s="50"/>
      <c r="D96" s="276"/>
      <c r="E96" s="276"/>
      <c r="F96" s="276"/>
      <c r="G96" s="276"/>
      <c r="H96" s="288"/>
      <c r="I96" s="276"/>
      <c r="J96" s="228"/>
      <c r="K96" s="276"/>
      <c r="L96" s="276"/>
    </row>
    <row r="97" spans="1:12">
      <c r="A97" s="48"/>
      <c r="B97" s="276"/>
      <c r="C97" s="50"/>
      <c r="D97" s="276"/>
      <c r="E97" s="276"/>
      <c r="F97" s="276"/>
      <c r="G97" s="276"/>
      <c r="H97" s="288"/>
      <c r="I97" s="276"/>
      <c r="J97" s="228"/>
      <c r="K97" s="276"/>
      <c r="L97" s="276"/>
    </row>
    <row r="98" spans="1:12">
      <c r="A98" s="48"/>
      <c r="B98" s="276"/>
      <c r="C98" s="50"/>
      <c r="D98" s="276"/>
      <c r="E98" s="276"/>
      <c r="F98" s="276"/>
      <c r="G98" s="276"/>
      <c r="H98" s="288"/>
      <c r="I98" s="276"/>
      <c r="J98" s="228"/>
      <c r="K98" s="276"/>
      <c r="L98" s="276"/>
    </row>
    <row r="99" spans="1:12">
      <c r="A99" s="48"/>
      <c r="B99" s="276"/>
      <c r="C99" s="50"/>
      <c r="D99" s="276"/>
      <c r="E99" s="276"/>
      <c r="F99" s="276"/>
      <c r="G99" s="276"/>
      <c r="H99" s="288"/>
      <c r="I99" s="276"/>
      <c r="J99" s="228"/>
      <c r="K99" s="276"/>
      <c r="L99" s="276"/>
    </row>
    <row r="100" spans="1:12">
      <c r="B100" s="63"/>
    </row>
    <row r="101" spans="1:12">
      <c r="B101" s="63"/>
    </row>
    <row r="102" spans="1:12">
      <c r="B102" s="63"/>
    </row>
    <row r="103" spans="1:12">
      <c r="B103" s="63"/>
    </row>
    <row r="104" spans="1:12">
      <c r="B104" s="63"/>
    </row>
    <row r="105" spans="1:12">
      <c r="B105" s="63"/>
    </row>
    <row r="106" spans="1:12">
      <c r="B106" s="63"/>
    </row>
    <row r="107" spans="1:12">
      <c r="B107" s="63"/>
    </row>
    <row r="108" spans="1:12">
      <c r="B108" s="63"/>
    </row>
    <row r="109" spans="1:12">
      <c r="B109" s="63"/>
    </row>
    <row r="110" spans="1:12">
      <c r="B110" s="63"/>
    </row>
    <row r="111" spans="1:12">
      <c r="B111" s="63"/>
    </row>
    <row r="112" spans="1:12">
      <c r="B112" s="63"/>
    </row>
    <row r="113" spans="2:2">
      <c r="B113" s="63"/>
    </row>
    <row r="114" spans="2:2">
      <c r="B114" s="63"/>
    </row>
    <row r="115" spans="2:2">
      <c r="B115" s="63"/>
    </row>
    <row r="116" spans="2:2">
      <c r="B116" s="63"/>
    </row>
    <row r="117" spans="2:2">
      <c r="B117" s="63"/>
    </row>
    <row r="118" spans="2:2">
      <c r="B118" s="63"/>
    </row>
    <row r="119" spans="2:2">
      <c r="B119" s="63"/>
    </row>
    <row r="120" spans="2:2">
      <c r="B120" s="63"/>
    </row>
    <row r="121" spans="2:2">
      <c r="B121" s="63"/>
    </row>
    <row r="122" spans="2:2">
      <c r="B122" s="63"/>
    </row>
    <row r="123" spans="2:2">
      <c r="B123" s="63"/>
    </row>
    <row r="124" spans="2:2">
      <c r="B124" s="63"/>
    </row>
    <row r="125" spans="2:2">
      <c r="B125" s="63"/>
    </row>
    <row r="126" spans="2:2">
      <c r="B126" s="63"/>
    </row>
    <row r="127" spans="2:2">
      <c r="B127" s="63"/>
    </row>
    <row r="128" spans="2:2">
      <c r="B128" s="63"/>
    </row>
    <row r="129" spans="2:2">
      <c r="B129" s="63"/>
    </row>
    <row r="130" spans="2:2">
      <c r="B130" s="63"/>
    </row>
    <row r="131" spans="2:2">
      <c r="B131" s="63"/>
    </row>
    <row r="132" spans="2:2">
      <c r="B132" s="63"/>
    </row>
    <row r="133" spans="2:2">
      <c r="B133" s="63"/>
    </row>
    <row r="134" spans="2:2">
      <c r="B134" s="63"/>
    </row>
    <row r="135" spans="2:2">
      <c r="B135" s="63"/>
    </row>
    <row r="136" spans="2:2">
      <c r="B136" s="63"/>
    </row>
    <row r="137" spans="2:2">
      <c r="B137" s="63"/>
    </row>
    <row r="138" spans="2:2">
      <c r="B138" s="63"/>
    </row>
    <row r="139" spans="2:2">
      <c r="B139" s="63"/>
    </row>
    <row r="140" spans="2:2">
      <c r="B140" s="63"/>
    </row>
    <row r="141" spans="2:2">
      <c r="B141" s="63"/>
    </row>
    <row r="142" spans="2:2">
      <c r="B142" s="63"/>
    </row>
    <row r="143" spans="2:2">
      <c r="B143" s="63"/>
    </row>
    <row r="144" spans="2:2">
      <c r="B144" s="63"/>
    </row>
    <row r="145" spans="1:12">
      <c r="B145" s="63"/>
    </row>
    <row r="146" spans="1:12">
      <c r="B146" s="63"/>
    </row>
    <row r="147" spans="1:12">
      <c r="A147" s="53"/>
      <c r="B147" s="20"/>
      <c r="D147" s="20"/>
      <c r="E147" s="20"/>
      <c r="F147" s="20"/>
      <c r="G147" s="20"/>
      <c r="H147" s="284"/>
      <c r="I147" s="20"/>
      <c r="J147" s="57"/>
      <c r="K147" s="20"/>
      <c r="L147" s="20"/>
    </row>
    <row r="148" spans="1:12">
      <c r="A148" s="53"/>
      <c r="B148" s="20"/>
      <c r="D148" s="20"/>
      <c r="E148" s="20"/>
      <c r="F148" s="20"/>
      <c r="G148" s="20"/>
      <c r="H148" s="284"/>
      <c r="I148" s="20"/>
      <c r="J148" s="57"/>
      <c r="K148" s="20"/>
      <c r="L148" s="20"/>
    </row>
    <row r="149" spans="1:12">
      <c r="A149" s="53"/>
      <c r="B149" s="20"/>
      <c r="D149" s="20"/>
      <c r="E149" s="20"/>
      <c r="F149" s="20"/>
      <c r="G149" s="20"/>
      <c r="H149" s="284"/>
      <c r="I149" s="20"/>
      <c r="J149" s="57"/>
      <c r="K149" s="20"/>
      <c r="L149" s="20"/>
    </row>
    <row r="150" spans="1:12">
      <c r="A150" s="53"/>
      <c r="B150" s="20"/>
      <c r="D150" s="20"/>
      <c r="E150" s="20"/>
      <c r="F150" s="20"/>
      <c r="G150" s="20"/>
      <c r="H150" s="284"/>
      <c r="I150" s="20"/>
      <c r="J150" s="57"/>
      <c r="K150" s="20"/>
      <c r="L150" s="20"/>
    </row>
    <row r="151" spans="1:12">
      <c r="A151" s="53"/>
      <c r="B151" s="20"/>
      <c r="D151" s="20"/>
      <c r="E151" s="20"/>
      <c r="F151" s="20"/>
      <c r="G151" s="20"/>
      <c r="H151" s="284"/>
      <c r="I151" s="20"/>
      <c r="J151" s="57"/>
      <c r="K151" s="20"/>
      <c r="L151" s="20"/>
    </row>
    <row r="152" spans="1:12">
      <c r="A152" s="53"/>
      <c r="B152" s="20"/>
      <c r="D152" s="20"/>
      <c r="E152" s="20"/>
      <c r="F152" s="20"/>
      <c r="G152" s="20"/>
      <c r="H152" s="284"/>
      <c r="I152" s="20"/>
      <c r="J152" s="57"/>
      <c r="K152" s="20"/>
      <c r="L152" s="20"/>
    </row>
    <row r="153" spans="1:12">
      <c r="A153" s="53"/>
      <c r="B153" s="20"/>
      <c r="D153" s="20"/>
      <c r="E153" s="20"/>
      <c r="F153" s="20"/>
      <c r="G153" s="20"/>
      <c r="H153" s="284"/>
      <c r="I153" s="20"/>
      <c r="J153" s="57"/>
      <c r="K153" s="20"/>
      <c r="L153" s="20"/>
    </row>
    <row r="154" spans="1:12">
      <c r="A154" s="53"/>
      <c r="B154" s="20"/>
      <c r="D154" s="20"/>
      <c r="E154" s="20"/>
      <c r="F154" s="20"/>
      <c r="G154" s="20"/>
      <c r="H154" s="284"/>
      <c r="I154" s="20"/>
      <c r="J154" s="57"/>
      <c r="K154" s="20"/>
      <c r="L154" s="20"/>
    </row>
    <row r="155" spans="1:12">
      <c r="A155" s="53"/>
      <c r="B155" s="20"/>
      <c r="D155" s="20"/>
      <c r="E155" s="20"/>
      <c r="F155" s="20"/>
      <c r="G155" s="20"/>
      <c r="H155" s="284"/>
      <c r="I155" s="20"/>
      <c r="J155" s="57"/>
      <c r="K155" s="20"/>
      <c r="L155" s="20"/>
    </row>
    <row r="156" spans="1:12">
      <c r="A156" s="53"/>
      <c r="B156" s="20"/>
      <c r="D156" s="20"/>
      <c r="E156" s="20"/>
      <c r="F156" s="20"/>
      <c r="G156" s="20"/>
      <c r="H156" s="284"/>
      <c r="I156" s="20"/>
      <c r="J156" s="57"/>
      <c r="K156" s="20"/>
      <c r="L156" s="20"/>
    </row>
    <row r="157" spans="1:12">
      <c r="A157" s="53"/>
      <c r="B157" s="20"/>
      <c r="D157" s="20"/>
      <c r="E157" s="20"/>
      <c r="F157" s="20"/>
      <c r="G157" s="20"/>
      <c r="H157" s="284"/>
      <c r="I157" s="20"/>
      <c r="J157" s="57"/>
      <c r="K157" s="20"/>
      <c r="L157" s="20"/>
    </row>
    <row r="173" ht="36.6" customHeight="1"/>
    <row r="180" ht="42.6" customHeight="1"/>
    <row r="187" ht="39.6" customHeight="1"/>
    <row r="478" spans="2:2">
      <c r="B478" s="45" t="s">
        <v>174</v>
      </c>
    </row>
  </sheetData>
  <autoFilter ref="A8:L62"/>
  <mergeCells count="11">
    <mergeCell ref="M34:N34"/>
    <mergeCell ref="A2:L2"/>
    <mergeCell ref="A4:L4"/>
    <mergeCell ref="D6:E6"/>
    <mergeCell ref="F6:G6"/>
    <mergeCell ref="H6:I6"/>
    <mergeCell ref="J6:K6"/>
    <mergeCell ref="A6:A7"/>
    <mergeCell ref="B6:B7"/>
    <mergeCell ref="C6:C7"/>
    <mergeCell ref="L6:L7"/>
  </mergeCells>
  <printOptions horizontalCentered="1"/>
  <pageMargins left="0.118110236220472" right="0.118110236220472" top="0.31299212599999998" bottom="0.24803149599999999" header="0.66929133858267698" footer="0.31496062992126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6"/>
  <sheetViews>
    <sheetView topLeftCell="A82" workbookViewId="0">
      <selection activeCell="K11" sqref="K11:L74"/>
    </sheetView>
  </sheetViews>
  <sheetFormatPr defaultColWidth="9.140625" defaultRowHeight="15"/>
  <cols>
    <col min="1" max="1" width="3.85546875" style="17" customWidth="1"/>
    <col min="2" max="2" width="41.85546875" style="9" customWidth="1"/>
    <col min="3" max="3" width="8.5703125" style="16" customWidth="1"/>
    <col min="4" max="4" width="8" style="560" customWidth="1"/>
    <col min="5" max="5" width="9" style="560" customWidth="1"/>
    <col min="6" max="6" width="8.7109375" style="560" customWidth="1"/>
    <col min="7" max="7" width="10.140625" style="560" customWidth="1"/>
    <col min="8" max="8" width="7.28515625" style="1014" customWidth="1"/>
    <col min="9" max="9" width="10" style="560" customWidth="1"/>
    <col min="10" max="10" width="8.7109375" style="1014" customWidth="1"/>
    <col min="11" max="11" width="8.28515625" style="560" customWidth="1"/>
    <col min="12" max="12" width="10.7109375" style="560" customWidth="1"/>
    <col min="13" max="16384" width="9.140625" style="13"/>
  </cols>
  <sheetData>
    <row r="1" spans="1:12">
      <c r="A1" s="550"/>
      <c r="B1" s="551"/>
      <c r="C1" s="551"/>
      <c r="D1" s="551"/>
      <c r="E1" s="551"/>
      <c r="F1" s="551"/>
      <c r="G1" s="551"/>
      <c r="H1" s="552"/>
      <c r="I1" s="551"/>
      <c r="J1" s="552"/>
      <c r="K1" s="551"/>
      <c r="L1" s="551"/>
    </row>
    <row r="2" spans="1:12" ht="16.5">
      <c r="A2" s="1106" t="s">
        <v>108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</row>
    <row r="3" spans="1:12" ht="21">
      <c r="A3" s="553"/>
      <c r="B3" s="554"/>
      <c r="C3" s="555"/>
      <c r="D3" s="555"/>
      <c r="E3" s="555"/>
      <c r="F3" s="555"/>
      <c r="G3" s="555"/>
      <c r="H3" s="556"/>
      <c r="I3" s="555"/>
      <c r="J3" s="556"/>
      <c r="K3" s="555"/>
      <c r="L3" s="555"/>
    </row>
    <row r="4" spans="1:12" ht="16.5">
      <c r="A4" s="1106" t="s">
        <v>32</v>
      </c>
      <c r="B4" s="1106"/>
      <c r="C4" s="1106"/>
      <c r="D4" s="1106"/>
      <c r="E4" s="1106"/>
      <c r="F4" s="1106"/>
      <c r="G4" s="1106"/>
      <c r="H4" s="1106"/>
      <c r="I4" s="1106"/>
      <c r="J4" s="1106"/>
      <c r="K4" s="1106"/>
      <c r="L4" s="1106"/>
    </row>
    <row r="5" spans="1:12" ht="21">
      <c r="A5" s="553"/>
      <c r="B5" s="554"/>
      <c r="C5" s="555"/>
      <c r="D5" s="555"/>
      <c r="E5" s="555"/>
      <c r="F5" s="555"/>
      <c r="G5" s="555"/>
      <c r="H5" s="556"/>
      <c r="I5" s="555"/>
      <c r="J5" s="556"/>
      <c r="K5" s="555"/>
      <c r="L5" s="555"/>
    </row>
    <row r="6" spans="1:12" ht="33.6" customHeight="1">
      <c r="A6" s="1107" t="s">
        <v>13</v>
      </c>
      <c r="B6" s="1107" t="s">
        <v>27</v>
      </c>
      <c r="C6" s="1107" t="s">
        <v>35</v>
      </c>
      <c r="D6" s="1108" t="s">
        <v>36</v>
      </c>
      <c r="E6" s="1109"/>
      <c r="F6" s="1107" t="s">
        <v>37</v>
      </c>
      <c r="G6" s="1107"/>
      <c r="H6" s="1107" t="s">
        <v>38</v>
      </c>
      <c r="I6" s="1107"/>
      <c r="J6" s="1107" t="s">
        <v>39</v>
      </c>
      <c r="K6" s="1107"/>
      <c r="L6" s="1110" t="s">
        <v>40</v>
      </c>
    </row>
    <row r="7" spans="1:12" ht="27">
      <c r="A7" s="1107"/>
      <c r="B7" s="1107"/>
      <c r="C7" s="1107"/>
      <c r="D7" s="530" t="s">
        <v>41</v>
      </c>
      <c r="E7" s="1012" t="s">
        <v>22</v>
      </c>
      <c r="F7" s="530" t="s">
        <v>42</v>
      </c>
      <c r="G7" s="1012" t="s">
        <v>43</v>
      </c>
      <c r="H7" s="530" t="s">
        <v>42</v>
      </c>
      <c r="I7" s="1012" t="s">
        <v>43</v>
      </c>
      <c r="J7" s="530" t="s">
        <v>42</v>
      </c>
      <c r="K7" s="1012" t="s">
        <v>43</v>
      </c>
      <c r="L7" s="1111"/>
    </row>
    <row r="8" spans="1:12" s="1" customFormat="1">
      <c r="A8" s="74">
        <v>1</v>
      </c>
      <c r="B8" s="74">
        <v>2</v>
      </c>
      <c r="C8" s="75">
        <v>3</v>
      </c>
      <c r="D8" s="74">
        <v>4</v>
      </c>
      <c r="E8" s="74">
        <v>5</v>
      </c>
      <c r="F8" s="74">
        <v>6</v>
      </c>
      <c r="G8" s="76">
        <v>7</v>
      </c>
      <c r="H8" s="280">
        <v>8</v>
      </c>
      <c r="I8" s="76">
        <v>9</v>
      </c>
      <c r="J8" s="74">
        <v>10</v>
      </c>
      <c r="K8" s="74">
        <v>11</v>
      </c>
      <c r="L8" s="74">
        <v>12</v>
      </c>
    </row>
    <row r="9" spans="1:12" s="197" customFormat="1" ht="28.9" customHeight="1">
      <c r="A9" s="598">
        <v>1</v>
      </c>
      <c r="B9" s="600" t="s">
        <v>221</v>
      </c>
      <c r="C9" s="541" t="s">
        <v>69</v>
      </c>
      <c r="D9" s="541"/>
      <c r="E9" s="599">
        <v>660</v>
      </c>
      <c r="F9" s="541"/>
      <c r="G9" s="541"/>
      <c r="H9" s="543"/>
      <c r="I9" s="541"/>
      <c r="J9" s="543"/>
      <c r="K9" s="541"/>
      <c r="L9" s="541"/>
    </row>
    <row r="10" spans="1:12" s="197" customFormat="1" ht="28.9" customHeight="1">
      <c r="A10" s="544"/>
      <c r="B10" s="562" t="s">
        <v>45</v>
      </c>
      <c r="C10" s="563" t="s">
        <v>46</v>
      </c>
      <c r="D10" s="537">
        <v>7.0000000000000007E-2</v>
      </c>
      <c r="E10" s="563">
        <f>D10*E9</f>
        <v>46.2</v>
      </c>
      <c r="F10" s="537"/>
      <c r="G10" s="537"/>
      <c r="H10" s="539"/>
      <c r="I10" s="539">
        <f>H10*E10</f>
        <v>0</v>
      </c>
      <c r="J10" s="539"/>
      <c r="K10" s="539"/>
      <c r="L10" s="539">
        <f t="shared" ref="L10:L13" si="0">K10+I10+G10</f>
        <v>0</v>
      </c>
    </row>
    <row r="11" spans="1:12" s="197" customFormat="1" ht="28.9" customHeight="1">
      <c r="A11" s="545"/>
      <c r="B11" s="544" t="s">
        <v>48</v>
      </c>
      <c r="C11" s="198" t="s">
        <v>2</v>
      </c>
      <c r="D11" s="564">
        <v>4.8399999999999999E-2</v>
      </c>
      <c r="E11" s="565">
        <f>D11*E9</f>
        <v>31.943999999999999</v>
      </c>
      <c r="F11" s="539"/>
      <c r="G11" s="566"/>
      <c r="H11" s="539"/>
      <c r="I11" s="566"/>
      <c r="J11" s="539"/>
      <c r="K11" s="539">
        <f>J11*E11</f>
        <v>0</v>
      </c>
      <c r="L11" s="539">
        <f t="shared" si="0"/>
        <v>0</v>
      </c>
    </row>
    <row r="12" spans="1:12" s="197" customFormat="1" ht="28.9" customHeight="1">
      <c r="A12" s="537"/>
      <c r="B12" s="601" t="s">
        <v>223</v>
      </c>
      <c r="C12" s="563" t="s">
        <v>69</v>
      </c>
      <c r="D12" s="564"/>
      <c r="E12" s="546">
        <v>660</v>
      </c>
      <c r="F12" s="539"/>
      <c r="G12" s="539">
        <f t="shared" ref="G12:G13" si="1">F12*E12</f>
        <v>0</v>
      </c>
      <c r="H12" s="539"/>
      <c r="I12" s="566"/>
      <c r="J12" s="539"/>
      <c r="K12" s="566"/>
      <c r="L12" s="566">
        <f t="shared" si="0"/>
        <v>0</v>
      </c>
    </row>
    <row r="13" spans="1:12" s="197" customFormat="1" ht="28.9" customHeight="1">
      <c r="A13" s="545"/>
      <c r="B13" s="544" t="s">
        <v>54</v>
      </c>
      <c r="C13" s="563" t="s">
        <v>2</v>
      </c>
      <c r="D13" s="564">
        <v>3.5000000000000001E-3</v>
      </c>
      <c r="E13" s="565">
        <f>D13*E9</f>
        <v>2.31</v>
      </c>
      <c r="F13" s="539"/>
      <c r="G13" s="539">
        <f t="shared" si="1"/>
        <v>0</v>
      </c>
      <c r="H13" s="539"/>
      <c r="I13" s="566"/>
      <c r="J13" s="539"/>
      <c r="K13" s="566"/>
      <c r="L13" s="566">
        <f t="shared" si="0"/>
        <v>0</v>
      </c>
    </row>
    <row r="14" spans="1:12" s="197" customFormat="1" ht="28.9" customHeight="1">
      <c r="A14" s="541">
        <v>2</v>
      </c>
      <c r="B14" s="598" t="s">
        <v>222</v>
      </c>
      <c r="C14" s="602" t="s">
        <v>69</v>
      </c>
      <c r="D14" s="604"/>
      <c r="E14" s="605">
        <v>600</v>
      </c>
      <c r="F14" s="606"/>
      <c r="G14" s="603"/>
      <c r="H14" s="541"/>
      <c r="I14" s="541"/>
      <c r="J14" s="541"/>
      <c r="K14" s="541"/>
      <c r="L14" s="603"/>
    </row>
    <row r="15" spans="1:12" s="197" customFormat="1" ht="28.9" customHeight="1">
      <c r="A15" s="545"/>
      <c r="B15" s="562" t="s">
        <v>45</v>
      </c>
      <c r="C15" s="563" t="s">
        <v>46</v>
      </c>
      <c r="D15" s="537">
        <v>0.26</v>
      </c>
      <c r="E15" s="569">
        <f>D15*E14</f>
        <v>156</v>
      </c>
      <c r="F15" s="537"/>
      <c r="G15" s="566"/>
      <c r="H15" s="539"/>
      <c r="I15" s="539">
        <f>E15*H15</f>
        <v>0</v>
      </c>
      <c r="J15" s="539"/>
      <c r="K15" s="537"/>
      <c r="L15" s="566">
        <f>K15+I15+G15</f>
        <v>0</v>
      </c>
    </row>
    <row r="16" spans="1:12" s="197" customFormat="1" ht="28.9" customHeight="1">
      <c r="A16" s="545"/>
      <c r="B16" s="544" t="s">
        <v>48</v>
      </c>
      <c r="C16" s="198" t="s">
        <v>2</v>
      </c>
      <c r="D16" s="564">
        <v>0.122</v>
      </c>
      <c r="E16" s="565">
        <f>D16*E14</f>
        <v>73.2</v>
      </c>
      <c r="F16" s="539"/>
      <c r="G16" s="566"/>
      <c r="H16" s="539"/>
      <c r="I16" s="566"/>
      <c r="J16" s="539"/>
      <c r="K16" s="539">
        <f>J16*E16</f>
        <v>0</v>
      </c>
      <c r="L16" s="539">
        <f>K16+I16+G16</f>
        <v>0</v>
      </c>
    </row>
    <row r="17" spans="1:12" s="197" customFormat="1" ht="28.9" customHeight="1">
      <c r="A17" s="535"/>
      <c r="B17" s="601" t="s">
        <v>224</v>
      </c>
      <c r="C17" s="534" t="s">
        <v>69</v>
      </c>
      <c r="D17" s="567">
        <v>1</v>
      </c>
      <c r="E17" s="546">
        <f>D17*E14</f>
        <v>600</v>
      </c>
      <c r="F17" s="539"/>
      <c r="G17" s="539">
        <f>F17*E17</f>
        <v>0</v>
      </c>
      <c r="H17" s="537"/>
      <c r="I17" s="545"/>
      <c r="J17" s="539"/>
      <c r="K17" s="566"/>
      <c r="L17" s="566">
        <f>K17+I17+G17</f>
        <v>0</v>
      </c>
    </row>
    <row r="18" spans="1:12" s="197" customFormat="1" ht="28.9" customHeight="1">
      <c r="A18" s="535"/>
      <c r="B18" s="544" t="s">
        <v>54</v>
      </c>
      <c r="C18" s="563" t="s">
        <v>2</v>
      </c>
      <c r="D18" s="564">
        <v>8.2000000000000003E-2</v>
      </c>
      <c r="E18" s="569">
        <f>D18*E14</f>
        <v>49.2</v>
      </c>
      <c r="F18" s="539"/>
      <c r="G18" s="539">
        <f>F18*E18</f>
        <v>0</v>
      </c>
      <c r="H18" s="537"/>
      <c r="I18" s="545"/>
      <c r="J18" s="561"/>
      <c r="K18" s="568"/>
      <c r="L18" s="566">
        <f>K18+I18+G18</f>
        <v>0</v>
      </c>
    </row>
    <row r="19" spans="1:12" s="197" customFormat="1" ht="28.9" customHeight="1">
      <c r="A19" s="608">
        <v>3</v>
      </c>
      <c r="B19" s="541" t="s">
        <v>100</v>
      </c>
      <c r="C19" s="607" t="s">
        <v>65</v>
      </c>
      <c r="D19" s="608"/>
      <c r="E19" s="609">
        <v>10</v>
      </c>
      <c r="F19" s="608"/>
      <c r="G19" s="610"/>
      <c r="H19" s="611"/>
      <c r="I19" s="608"/>
      <c r="J19" s="611"/>
      <c r="K19" s="608"/>
      <c r="L19" s="610"/>
    </row>
    <row r="20" spans="1:12" s="197" customFormat="1" ht="28.9" customHeight="1">
      <c r="A20" s="571"/>
      <c r="B20" s="562" t="s">
        <v>45</v>
      </c>
      <c r="C20" s="563" t="s">
        <v>46</v>
      </c>
      <c r="D20" s="537">
        <v>0.22</v>
      </c>
      <c r="E20" s="577">
        <f>D20*E19</f>
        <v>2.2000000000000002</v>
      </c>
      <c r="F20" s="537"/>
      <c r="G20" s="575"/>
      <c r="H20" s="539"/>
      <c r="I20" s="539">
        <f>E20*H20</f>
        <v>0</v>
      </c>
      <c r="J20" s="539"/>
      <c r="K20" s="537"/>
      <c r="L20" s="575">
        <f t="shared" ref="L20:L25" si="2">K20+I20+G20</f>
        <v>0</v>
      </c>
    </row>
    <row r="21" spans="1:12" s="197" customFormat="1" ht="28.9" customHeight="1">
      <c r="A21" s="571"/>
      <c r="B21" s="601" t="s">
        <v>225</v>
      </c>
      <c r="C21" s="534" t="s">
        <v>65</v>
      </c>
      <c r="D21" s="572">
        <v>1</v>
      </c>
      <c r="E21" s="1055">
        <f>D21*E19</f>
        <v>10</v>
      </c>
      <c r="F21" s="578"/>
      <c r="G21" s="1067">
        <f t="shared" ref="G21:G25" si="3">F21*E21</f>
        <v>0</v>
      </c>
      <c r="H21" s="573"/>
      <c r="I21" s="572"/>
      <c r="J21" s="573"/>
      <c r="K21" s="572"/>
      <c r="L21" s="575">
        <f t="shared" si="2"/>
        <v>0</v>
      </c>
    </row>
    <row r="22" spans="1:12" s="197" customFormat="1" ht="28.9" customHeight="1">
      <c r="A22" s="571"/>
      <c r="B22" s="597" t="s">
        <v>228</v>
      </c>
      <c r="C22" s="534" t="s">
        <v>65</v>
      </c>
      <c r="D22" s="536">
        <v>1</v>
      </c>
      <c r="E22" s="954">
        <v>8</v>
      </c>
      <c r="F22" s="612"/>
      <c r="G22" s="1067">
        <f t="shared" si="3"/>
        <v>0</v>
      </c>
      <c r="H22" s="573"/>
      <c r="I22" s="572"/>
      <c r="J22" s="573"/>
      <c r="K22" s="572"/>
      <c r="L22" s="575">
        <f t="shared" si="2"/>
        <v>0</v>
      </c>
    </row>
    <row r="23" spans="1:12" s="197" customFormat="1" ht="28.9" customHeight="1">
      <c r="A23" s="571"/>
      <c r="B23" s="597" t="s">
        <v>229</v>
      </c>
      <c r="C23" s="208"/>
      <c r="D23" s="536"/>
      <c r="E23" s="953">
        <v>1</v>
      </c>
      <c r="F23" s="613"/>
      <c r="G23" s="1067">
        <f>F23*E23</f>
        <v>0</v>
      </c>
      <c r="H23" s="573"/>
      <c r="I23" s="572"/>
      <c r="J23" s="573"/>
      <c r="K23" s="572"/>
      <c r="L23" s="575">
        <f>K23+I23+G23</f>
        <v>0</v>
      </c>
    </row>
    <row r="24" spans="1:12" s="197" customFormat="1" ht="28.9" customHeight="1">
      <c r="A24" s="545"/>
      <c r="B24" s="579" t="s">
        <v>243</v>
      </c>
      <c r="C24" s="534" t="s">
        <v>65</v>
      </c>
      <c r="D24" s="199">
        <v>1</v>
      </c>
      <c r="E24" s="954">
        <f>D24*E19</f>
        <v>10</v>
      </c>
      <c r="F24" s="580"/>
      <c r="G24" s="106">
        <f t="shared" si="3"/>
        <v>0</v>
      </c>
      <c r="H24" s="106"/>
      <c r="I24" s="105"/>
      <c r="J24" s="106"/>
      <c r="K24" s="105"/>
      <c r="L24" s="105">
        <f t="shared" si="2"/>
        <v>0</v>
      </c>
    </row>
    <row r="25" spans="1:12" s="197" customFormat="1" ht="28.9" customHeight="1">
      <c r="A25" s="571"/>
      <c r="B25" s="544" t="s">
        <v>54</v>
      </c>
      <c r="C25" s="563" t="s">
        <v>2</v>
      </c>
      <c r="D25" s="572">
        <v>8.2799999999999999E-2</v>
      </c>
      <c r="E25" s="577">
        <f>D25*E19</f>
        <v>0.82799999999999996</v>
      </c>
      <c r="F25" s="572"/>
      <c r="G25" s="1067">
        <f t="shared" si="3"/>
        <v>0</v>
      </c>
      <c r="H25" s="573"/>
      <c r="I25" s="572"/>
      <c r="J25" s="573"/>
      <c r="K25" s="572"/>
      <c r="L25" s="575">
        <f t="shared" si="2"/>
        <v>0</v>
      </c>
    </row>
    <row r="26" spans="1:12" s="197" customFormat="1" ht="28.9" customHeight="1">
      <c r="A26" s="608">
        <v>4</v>
      </c>
      <c r="B26" s="598" t="s">
        <v>101</v>
      </c>
      <c r="C26" s="607" t="s">
        <v>65</v>
      </c>
      <c r="D26" s="608"/>
      <c r="E26" s="609">
        <v>1</v>
      </c>
      <c r="F26" s="608"/>
      <c r="G26" s="610"/>
      <c r="H26" s="611"/>
      <c r="I26" s="608"/>
      <c r="J26" s="611"/>
      <c r="K26" s="608"/>
      <c r="L26" s="610"/>
    </row>
    <row r="27" spans="1:12" s="197" customFormat="1" ht="28.9" customHeight="1">
      <c r="A27" s="571"/>
      <c r="B27" s="562" t="s">
        <v>45</v>
      </c>
      <c r="C27" s="563" t="s">
        <v>46</v>
      </c>
      <c r="D27" s="537">
        <v>0.2</v>
      </c>
      <c r="E27" s="577">
        <f>D27*E26</f>
        <v>0.2</v>
      </c>
      <c r="F27" s="537"/>
      <c r="G27" s="575"/>
      <c r="H27" s="539"/>
      <c r="I27" s="539">
        <f>E27*H27</f>
        <v>0</v>
      </c>
      <c r="J27" s="539"/>
      <c r="K27" s="537"/>
      <c r="L27" s="575">
        <f>K27+I27+G27</f>
        <v>0</v>
      </c>
    </row>
    <row r="28" spans="1:12" s="197" customFormat="1" ht="28.9" customHeight="1">
      <c r="A28" s="571"/>
      <c r="B28" s="597" t="s">
        <v>227</v>
      </c>
      <c r="C28" s="576" t="s">
        <v>65</v>
      </c>
      <c r="D28" s="572">
        <v>1</v>
      </c>
      <c r="E28" s="546">
        <f>D28*E26</f>
        <v>1</v>
      </c>
      <c r="F28" s="572"/>
      <c r="G28" s="1067">
        <f>F28*E28</f>
        <v>0</v>
      </c>
      <c r="H28" s="573"/>
      <c r="I28" s="572"/>
      <c r="J28" s="573"/>
      <c r="K28" s="572"/>
      <c r="L28" s="575">
        <f>K28+I28+G28</f>
        <v>0</v>
      </c>
    </row>
    <row r="29" spans="1:12" s="197" customFormat="1" ht="28.9" customHeight="1">
      <c r="A29" s="571"/>
      <c r="B29" s="597" t="s">
        <v>228</v>
      </c>
      <c r="C29" s="208"/>
      <c r="D29" s="536"/>
      <c r="E29" s="953">
        <v>1</v>
      </c>
      <c r="F29" s="613"/>
      <c r="G29" s="1067">
        <f>F29*E29</f>
        <v>0</v>
      </c>
      <c r="H29" s="573"/>
      <c r="I29" s="572"/>
      <c r="J29" s="573"/>
      <c r="K29" s="572"/>
      <c r="L29" s="575">
        <f>K29+I29+G29</f>
        <v>0</v>
      </c>
    </row>
    <row r="30" spans="1:12" s="197" customFormat="1" ht="28.9" customHeight="1">
      <c r="A30" s="545"/>
      <c r="B30" s="579" t="s">
        <v>243</v>
      </c>
      <c r="C30" s="534" t="s">
        <v>65</v>
      </c>
      <c r="D30" s="199"/>
      <c r="E30" s="954">
        <v>1</v>
      </c>
      <c r="F30" s="580"/>
      <c r="G30" s="106">
        <f t="shared" ref="G30:G31" si="4">F30*E30</f>
        <v>0</v>
      </c>
      <c r="H30" s="106"/>
      <c r="I30" s="105"/>
      <c r="J30" s="106"/>
      <c r="K30" s="105"/>
      <c r="L30" s="105">
        <f t="shared" ref="L30:L31" si="5">K30+I30+G30</f>
        <v>0</v>
      </c>
    </row>
    <row r="31" spans="1:12" s="197" customFormat="1" ht="28.9" customHeight="1">
      <c r="A31" s="571"/>
      <c r="B31" s="544" t="s">
        <v>54</v>
      </c>
      <c r="C31" s="563" t="s">
        <v>2</v>
      </c>
      <c r="D31" s="572">
        <v>8.2500000000000004E-2</v>
      </c>
      <c r="E31" s="577">
        <f>D31*E26</f>
        <v>8.2500000000000004E-2</v>
      </c>
      <c r="F31" s="572"/>
      <c r="G31" s="1067">
        <f t="shared" si="4"/>
        <v>0</v>
      </c>
      <c r="H31" s="573"/>
      <c r="I31" s="572"/>
      <c r="J31" s="573"/>
      <c r="K31" s="572"/>
      <c r="L31" s="575">
        <f t="shared" si="5"/>
        <v>0</v>
      </c>
    </row>
    <row r="32" spans="1:12" s="197" customFormat="1" ht="28.9" customHeight="1">
      <c r="A32" s="608">
        <v>5</v>
      </c>
      <c r="B32" s="598" t="s">
        <v>240</v>
      </c>
      <c r="C32" s="607" t="s">
        <v>65</v>
      </c>
      <c r="D32" s="608"/>
      <c r="E32" s="609">
        <v>3</v>
      </c>
      <c r="F32" s="608"/>
      <c r="G32" s="610"/>
      <c r="H32" s="611"/>
      <c r="I32" s="608"/>
      <c r="J32" s="611"/>
      <c r="K32" s="608"/>
      <c r="L32" s="610"/>
    </row>
    <row r="33" spans="1:12" s="197" customFormat="1" ht="28.9" customHeight="1">
      <c r="A33" s="571"/>
      <c r="B33" s="562" t="s">
        <v>45</v>
      </c>
      <c r="C33" s="563" t="s">
        <v>46</v>
      </c>
      <c r="D33" s="537">
        <v>0.27</v>
      </c>
      <c r="E33" s="577">
        <f>D33*E32</f>
        <v>0.81</v>
      </c>
      <c r="F33" s="537"/>
      <c r="G33" s="575"/>
      <c r="H33" s="539"/>
      <c r="I33" s="539">
        <f>E33*H33</f>
        <v>0</v>
      </c>
      <c r="J33" s="539"/>
      <c r="K33" s="537"/>
      <c r="L33" s="575">
        <f>K33+I33+G33</f>
        <v>0</v>
      </c>
    </row>
    <row r="34" spans="1:12" s="197" customFormat="1" ht="28.9" customHeight="1">
      <c r="A34" s="571"/>
      <c r="B34" s="597" t="s">
        <v>226</v>
      </c>
      <c r="C34" s="576" t="s">
        <v>65</v>
      </c>
      <c r="D34" s="572">
        <v>1</v>
      </c>
      <c r="E34" s="546">
        <f>D34*E32</f>
        <v>3</v>
      </c>
      <c r="F34" s="573"/>
      <c r="G34" s="1067">
        <f>F34*E34</f>
        <v>0</v>
      </c>
      <c r="H34" s="573"/>
      <c r="I34" s="572"/>
      <c r="J34" s="573"/>
      <c r="K34" s="572"/>
      <c r="L34" s="575">
        <f>K34+I34+G34</f>
        <v>0</v>
      </c>
    </row>
    <row r="35" spans="1:12" s="197" customFormat="1" ht="28.9" customHeight="1">
      <c r="A35" s="571"/>
      <c r="B35" s="597" t="s">
        <v>228</v>
      </c>
      <c r="C35" s="534" t="s">
        <v>65</v>
      </c>
      <c r="D35" s="536"/>
      <c r="E35" s="953">
        <v>1</v>
      </c>
      <c r="F35" s="612"/>
      <c r="G35" s="1067">
        <f t="shared" ref="G35" si="6">F35*E35</f>
        <v>0</v>
      </c>
      <c r="H35" s="573"/>
      <c r="I35" s="572"/>
      <c r="J35" s="573"/>
      <c r="K35" s="572"/>
      <c r="L35" s="575">
        <f t="shared" ref="L35" si="7">K35+I35+G35</f>
        <v>0</v>
      </c>
    </row>
    <row r="36" spans="1:12" s="197" customFormat="1" ht="28.9" customHeight="1">
      <c r="A36" s="571"/>
      <c r="B36" s="597" t="s">
        <v>229</v>
      </c>
      <c r="C36" s="208"/>
      <c r="D36" s="536"/>
      <c r="E36" s="953">
        <v>1</v>
      </c>
      <c r="F36" s="613"/>
      <c r="G36" s="1067">
        <f>F36*E36</f>
        <v>0</v>
      </c>
      <c r="H36" s="573"/>
      <c r="I36" s="572"/>
      <c r="J36" s="573"/>
      <c r="K36" s="572"/>
      <c r="L36" s="575">
        <f>K36+I36+G36</f>
        <v>0</v>
      </c>
    </row>
    <row r="37" spans="1:12" s="197" customFormat="1" ht="28.9" customHeight="1">
      <c r="A37" s="545"/>
      <c r="B37" s="579" t="s">
        <v>243</v>
      </c>
      <c r="C37" s="534" t="s">
        <v>65</v>
      </c>
      <c r="D37" s="199"/>
      <c r="E37" s="954">
        <v>3</v>
      </c>
      <c r="F37" s="580"/>
      <c r="G37" s="106">
        <f t="shared" ref="G37:G38" si="8">F37*E37</f>
        <v>0</v>
      </c>
      <c r="H37" s="106"/>
      <c r="I37" s="105"/>
      <c r="J37" s="106"/>
      <c r="K37" s="105"/>
      <c r="L37" s="105">
        <f t="shared" ref="L37:L38" si="9">K37+I37+G37</f>
        <v>0</v>
      </c>
    </row>
    <row r="38" spans="1:12" s="197" customFormat="1" ht="28.9" customHeight="1">
      <c r="A38" s="571"/>
      <c r="B38" s="544" t="s">
        <v>54</v>
      </c>
      <c r="C38" s="563" t="s">
        <v>2</v>
      </c>
      <c r="D38" s="572">
        <v>7.46E-2</v>
      </c>
      <c r="E38" s="577">
        <f>D38*E32</f>
        <v>0.2238</v>
      </c>
      <c r="F38" s="572"/>
      <c r="G38" s="1067">
        <f t="shared" si="8"/>
        <v>0</v>
      </c>
      <c r="H38" s="573"/>
      <c r="I38" s="572"/>
      <c r="J38" s="573"/>
      <c r="K38" s="572"/>
      <c r="L38" s="575">
        <f t="shared" si="9"/>
        <v>0</v>
      </c>
    </row>
    <row r="39" spans="1:12" s="197" customFormat="1" ht="28.9" customHeight="1">
      <c r="A39" s="571"/>
      <c r="B39" s="544"/>
      <c r="C39" s="563"/>
      <c r="D39" s="572"/>
      <c r="E39" s="577"/>
      <c r="F39" s="572"/>
      <c r="G39" s="575"/>
      <c r="H39" s="573"/>
      <c r="I39" s="572"/>
      <c r="J39" s="573"/>
      <c r="K39" s="572"/>
      <c r="L39" s="575"/>
    </row>
    <row r="40" spans="1:12" s="197" customFormat="1" ht="28.9" customHeight="1">
      <c r="A40" s="608">
        <v>6</v>
      </c>
      <c r="B40" s="598" t="s">
        <v>242</v>
      </c>
      <c r="C40" s="607" t="s">
        <v>65</v>
      </c>
      <c r="D40" s="541"/>
      <c r="E40" s="599">
        <v>19</v>
      </c>
      <c r="F40" s="608"/>
      <c r="G40" s="610"/>
      <c r="H40" s="611"/>
      <c r="I40" s="608"/>
      <c r="J40" s="611"/>
      <c r="K40" s="608"/>
      <c r="L40" s="610"/>
    </row>
    <row r="41" spans="1:12" s="197" customFormat="1" ht="28.9" customHeight="1">
      <c r="A41" s="571"/>
      <c r="B41" s="562" t="s">
        <v>45</v>
      </c>
      <c r="C41" s="563" t="s">
        <v>46</v>
      </c>
      <c r="D41" s="537">
        <v>0.69</v>
      </c>
      <c r="E41" s="577">
        <f>D41*E40</f>
        <v>13.11</v>
      </c>
      <c r="F41" s="537"/>
      <c r="G41" s="566"/>
      <c r="H41" s="539"/>
      <c r="I41" s="539">
        <f>E41*H41</f>
        <v>0</v>
      </c>
      <c r="J41" s="539"/>
      <c r="K41" s="537"/>
      <c r="L41" s="566">
        <f>K41+I41+G41</f>
        <v>0</v>
      </c>
    </row>
    <row r="42" spans="1:12" s="197" customFormat="1" ht="28.9" customHeight="1">
      <c r="A42" s="571"/>
      <c r="B42" s="544" t="s">
        <v>48</v>
      </c>
      <c r="C42" s="198" t="s">
        <v>2</v>
      </c>
      <c r="D42" s="537">
        <v>1.22</v>
      </c>
      <c r="E42" s="577">
        <f>D42*E40</f>
        <v>23.18</v>
      </c>
      <c r="F42" s="537"/>
      <c r="G42" s="566"/>
      <c r="H42" s="539"/>
      <c r="I42" s="537"/>
      <c r="J42" s="539"/>
      <c r="K42" s="539">
        <f>J42*E42</f>
        <v>0</v>
      </c>
      <c r="L42" s="539">
        <f>K42+I42+G42</f>
        <v>0</v>
      </c>
    </row>
    <row r="43" spans="1:12" s="197" customFormat="1" ht="28.9" customHeight="1">
      <c r="A43" s="571"/>
      <c r="B43" s="627" t="s">
        <v>241</v>
      </c>
      <c r="C43" s="576" t="s">
        <v>65</v>
      </c>
      <c r="D43" s="572">
        <v>1</v>
      </c>
      <c r="E43" s="1056">
        <f>D43*E40</f>
        <v>19</v>
      </c>
      <c r="F43" s="573"/>
      <c r="G43" s="1067">
        <f t="shared" ref="G43:G44" si="10">F43*E43</f>
        <v>0</v>
      </c>
      <c r="H43" s="573"/>
      <c r="I43" s="572"/>
      <c r="J43" s="573"/>
      <c r="K43" s="572"/>
      <c r="L43" s="575">
        <f t="shared" ref="L43:L44" si="11">K43+I43+G43</f>
        <v>0</v>
      </c>
    </row>
    <row r="44" spans="1:12" s="197" customFormat="1" ht="28.9" customHeight="1">
      <c r="A44" s="571"/>
      <c r="B44" s="544" t="s">
        <v>54</v>
      </c>
      <c r="C44" s="563" t="s">
        <v>2</v>
      </c>
      <c r="D44" s="537">
        <v>1.33</v>
      </c>
      <c r="E44" s="577">
        <f>D44*E40</f>
        <v>25.270000000000003</v>
      </c>
      <c r="F44" s="572"/>
      <c r="G44" s="1067">
        <f t="shared" si="10"/>
        <v>0</v>
      </c>
      <c r="H44" s="573"/>
      <c r="I44" s="572"/>
      <c r="J44" s="573"/>
      <c r="K44" s="572"/>
      <c r="L44" s="575">
        <f t="shared" si="11"/>
        <v>0</v>
      </c>
    </row>
    <row r="45" spans="1:12" s="197" customFormat="1" ht="28.9" customHeight="1">
      <c r="A45" s="608">
        <v>7</v>
      </c>
      <c r="B45" s="541" t="s">
        <v>235</v>
      </c>
      <c r="C45" s="620"/>
      <c r="D45" s="621"/>
      <c r="E45" s="622"/>
      <c r="F45" s="623"/>
      <c r="G45" s="624"/>
      <c r="H45" s="625"/>
      <c r="I45" s="624"/>
      <c r="J45" s="625"/>
      <c r="K45" s="624"/>
      <c r="L45" s="624"/>
    </row>
    <row r="46" spans="1:12" s="197" customFormat="1" ht="28.9" customHeight="1">
      <c r="A46" s="571"/>
      <c r="B46" s="597" t="s">
        <v>236</v>
      </c>
      <c r="C46" s="198" t="s">
        <v>65</v>
      </c>
      <c r="D46" s="537"/>
      <c r="E46" s="546">
        <v>11</v>
      </c>
      <c r="F46" s="573"/>
      <c r="G46" s="1066">
        <f t="shared" ref="G46:G49" si="12">E46*F46</f>
        <v>0</v>
      </c>
      <c r="H46" s="626"/>
      <c r="I46" s="626"/>
      <c r="J46" s="626"/>
      <c r="K46" s="626"/>
      <c r="L46" s="626">
        <f t="shared" ref="L46:L49" si="13">K46+I46+G46</f>
        <v>0</v>
      </c>
    </row>
    <row r="47" spans="1:12" s="197" customFormat="1" ht="28.9" customHeight="1">
      <c r="A47" s="571"/>
      <c r="B47" s="628" t="s">
        <v>237</v>
      </c>
      <c r="C47" s="198" t="s">
        <v>65</v>
      </c>
      <c r="D47" s="1013"/>
      <c r="E47" s="1057">
        <v>66</v>
      </c>
      <c r="F47" s="573"/>
      <c r="G47" s="1066">
        <f t="shared" si="12"/>
        <v>0</v>
      </c>
      <c r="H47" s="626"/>
      <c r="I47" s="626"/>
      <c r="J47" s="626"/>
      <c r="K47" s="626"/>
      <c r="L47" s="626">
        <f t="shared" si="13"/>
        <v>0</v>
      </c>
    </row>
    <row r="48" spans="1:12" s="197" customFormat="1" ht="28.9" customHeight="1">
      <c r="A48" s="571"/>
      <c r="B48" s="597" t="s">
        <v>238</v>
      </c>
      <c r="C48" s="198" t="s">
        <v>65</v>
      </c>
      <c r="D48" s="1013"/>
      <c r="E48" s="1057">
        <v>55</v>
      </c>
      <c r="F48" s="573"/>
      <c r="G48" s="1066">
        <f t="shared" si="12"/>
        <v>0</v>
      </c>
      <c r="H48" s="626"/>
      <c r="I48" s="626"/>
      <c r="J48" s="626"/>
      <c r="K48" s="626"/>
      <c r="L48" s="626">
        <f t="shared" si="13"/>
        <v>0</v>
      </c>
    </row>
    <row r="49" spans="1:17" s="197" customFormat="1" ht="28.9" customHeight="1">
      <c r="A49" s="571"/>
      <c r="B49" s="597" t="s">
        <v>239</v>
      </c>
      <c r="C49" s="198" t="s">
        <v>65</v>
      </c>
      <c r="D49" s="1013"/>
      <c r="E49" s="1057">
        <v>44</v>
      </c>
      <c r="F49" s="573"/>
      <c r="G49" s="1066">
        <f t="shared" si="12"/>
        <v>0</v>
      </c>
      <c r="H49" s="626"/>
      <c r="I49" s="626"/>
      <c r="J49" s="626"/>
      <c r="K49" s="626"/>
      <c r="L49" s="626">
        <f t="shared" si="13"/>
        <v>0</v>
      </c>
    </row>
    <row r="50" spans="1:17" s="197" customFormat="1" ht="28.9" customHeight="1" thickBot="1">
      <c r="A50" s="571"/>
      <c r="B50" s="544"/>
      <c r="C50" s="198"/>
      <c r="D50" s="537"/>
      <c r="E50" s="546"/>
      <c r="F50" s="573"/>
      <c r="G50" s="566"/>
      <c r="H50" s="539"/>
      <c r="I50" s="566"/>
      <c r="J50" s="539"/>
      <c r="K50" s="566"/>
      <c r="L50" s="566"/>
    </row>
    <row r="51" spans="1:17" s="45" customFormat="1" ht="28.9" customHeight="1">
      <c r="A51" s="210"/>
      <c r="B51" s="212" t="s">
        <v>21</v>
      </c>
      <c r="C51" s="212"/>
      <c r="D51" s="211"/>
      <c r="E51" s="212"/>
      <c r="F51" s="212"/>
      <c r="G51" s="213">
        <f>SUM(G9:G50)</f>
        <v>0</v>
      </c>
      <c r="H51" s="213"/>
      <c r="I51" s="213">
        <f>SUM(I9:I50)</f>
        <v>0</v>
      </c>
      <c r="J51" s="213"/>
      <c r="K51" s="213">
        <f>SUM(K9:K50)</f>
        <v>0</v>
      </c>
      <c r="L51" s="213">
        <f>SUM(L9:L50)</f>
        <v>0</v>
      </c>
    </row>
    <row r="52" spans="1:17" s="197" customFormat="1" ht="28.9" customHeight="1">
      <c r="A52" s="750"/>
      <c r="B52" s="763" t="s">
        <v>356</v>
      </c>
      <c r="C52" s="899">
        <v>0.05</v>
      </c>
      <c r="D52" s="752"/>
      <c r="E52" s="753"/>
      <c r="F52" s="753"/>
      <c r="G52" s="756"/>
      <c r="H52" s="753"/>
      <c r="I52" s="756"/>
      <c r="J52" s="781"/>
      <c r="K52" s="756"/>
      <c r="L52" s="756">
        <f>G51*C52</f>
        <v>0</v>
      </c>
    </row>
    <row r="53" spans="1:17" s="197" customFormat="1" ht="28.9" customHeight="1">
      <c r="A53" s="750"/>
      <c r="B53" s="129" t="s">
        <v>21</v>
      </c>
      <c r="C53" s="742"/>
      <c r="D53" s="752"/>
      <c r="E53" s="753"/>
      <c r="F53" s="753"/>
      <c r="G53" s="756"/>
      <c r="H53" s="753"/>
      <c r="I53" s="756"/>
      <c r="J53" s="781"/>
      <c r="K53" s="756"/>
      <c r="L53" s="900">
        <f>L51+L52</f>
        <v>0</v>
      </c>
    </row>
    <row r="54" spans="1:17" s="45" customFormat="1" ht="28.9" customHeight="1">
      <c r="A54" s="214"/>
      <c r="B54" s="570" t="s">
        <v>94</v>
      </c>
      <c r="C54" s="581">
        <v>0.75</v>
      </c>
      <c r="D54" s="537"/>
      <c r="E54" s="581"/>
      <c r="F54" s="537"/>
      <c r="G54" s="582"/>
      <c r="H54" s="582"/>
      <c r="I54" s="582"/>
      <c r="J54" s="582"/>
      <c r="K54" s="583"/>
      <c r="L54" s="539">
        <f>I51*C54</f>
        <v>0</v>
      </c>
    </row>
    <row r="55" spans="1:17" s="45" customFormat="1" ht="28.9" customHeight="1">
      <c r="A55" s="214"/>
      <c r="B55" s="537" t="s">
        <v>21</v>
      </c>
      <c r="C55" s="545"/>
      <c r="D55" s="537"/>
      <c r="E55" s="545"/>
      <c r="F55" s="545"/>
      <c r="G55" s="584"/>
      <c r="H55" s="584"/>
      <c r="I55" s="584"/>
      <c r="J55" s="584"/>
      <c r="K55" s="585"/>
      <c r="L55" s="561">
        <f>L53+L54</f>
        <v>0</v>
      </c>
    </row>
    <row r="56" spans="1:17" s="45" customFormat="1" ht="28.9" customHeight="1">
      <c r="A56" s="214"/>
      <c r="B56" s="570" t="s">
        <v>97</v>
      </c>
      <c r="C56" s="581">
        <v>0.08</v>
      </c>
      <c r="D56" s="537"/>
      <c r="E56" s="581"/>
      <c r="F56" s="537"/>
      <c r="G56" s="582"/>
      <c r="H56" s="582"/>
      <c r="I56" s="582"/>
      <c r="J56" s="582"/>
      <c r="K56" s="583"/>
      <c r="L56" s="539">
        <f>L55*C56</f>
        <v>0</v>
      </c>
    </row>
    <row r="57" spans="1:17" s="197" customFormat="1" ht="28.9" customHeight="1">
      <c r="A57" s="214"/>
      <c r="B57" s="537" t="s">
        <v>21</v>
      </c>
      <c r="C57" s="545"/>
      <c r="D57" s="537"/>
      <c r="E57" s="545"/>
      <c r="F57" s="545"/>
      <c r="G57" s="584"/>
      <c r="H57" s="584"/>
      <c r="I57" s="584"/>
      <c r="J57" s="584"/>
      <c r="K57" s="585"/>
      <c r="L57" s="561">
        <f>SUM(L55:L56)</f>
        <v>0</v>
      </c>
    </row>
    <row r="58" spans="1:17" s="45" customFormat="1" ht="28.9" customHeight="1">
      <c r="A58" s="545"/>
      <c r="B58" s="586"/>
      <c r="C58" s="537"/>
      <c r="D58" s="537"/>
      <c r="E58" s="539"/>
      <c r="F58" s="573"/>
      <c r="G58" s="566"/>
      <c r="H58" s="539"/>
      <c r="I58" s="566"/>
      <c r="J58" s="539"/>
      <c r="K58" s="566"/>
      <c r="L58" s="566"/>
    </row>
    <row r="59" spans="1:17" s="9" customFormat="1" ht="28.9" customHeight="1">
      <c r="A59" s="557"/>
      <c r="B59" s="557" t="s">
        <v>230</v>
      </c>
      <c r="C59" s="529"/>
      <c r="D59" s="559"/>
      <c r="E59" s="530"/>
      <c r="F59" s="530"/>
      <c r="G59" s="530"/>
      <c r="H59" s="530"/>
      <c r="I59" s="530"/>
      <c r="J59" s="530"/>
      <c r="K59" s="530"/>
      <c r="L59" s="530"/>
    </row>
    <row r="60" spans="1:17" s="12" customFormat="1" ht="28.9" customHeight="1">
      <c r="A60" s="541">
        <v>1</v>
      </c>
      <c r="B60" s="598" t="s">
        <v>234</v>
      </c>
      <c r="C60" s="541" t="s">
        <v>44</v>
      </c>
      <c r="D60" s="542"/>
      <c r="E60" s="543">
        <f>27/100*70</f>
        <v>18.900000000000002</v>
      </c>
      <c r="F60" s="543"/>
      <c r="G60" s="543"/>
      <c r="H60" s="543"/>
      <c r="I60" s="543"/>
      <c r="J60" s="543"/>
      <c r="K60" s="543"/>
      <c r="L60" s="543"/>
    </row>
    <row r="61" spans="1:17" s="9" customFormat="1" ht="15.75">
      <c r="A61" s="1039"/>
      <c r="B61" s="1040" t="s">
        <v>45</v>
      </c>
      <c r="C61" s="742" t="s">
        <v>151</v>
      </c>
      <c r="D61" s="1041">
        <v>1</v>
      </c>
      <c r="E61" s="756">
        <f>D61*E60</f>
        <v>18.900000000000002</v>
      </c>
      <c r="F61" s="746"/>
      <c r="G61" s="1042"/>
      <c r="H61" s="1042"/>
      <c r="I61" s="1042">
        <f>H61*E61</f>
        <v>0</v>
      </c>
      <c r="J61" s="1042"/>
      <c r="K61" s="1042"/>
      <c r="L61" s="1042">
        <f>K61+I61+G61</f>
        <v>0</v>
      </c>
      <c r="M61" s="1043"/>
      <c r="N61" s="1043"/>
      <c r="O61" s="1043"/>
      <c r="P61" s="1043"/>
      <c r="Q61" s="1043"/>
    </row>
    <row r="62" spans="1:17" s="4" customFormat="1" ht="28.9" customHeight="1">
      <c r="A62" s="614">
        <v>2</v>
      </c>
      <c r="B62" s="615" t="s">
        <v>231</v>
      </c>
      <c r="C62" s="616" t="s">
        <v>232</v>
      </c>
      <c r="D62" s="617"/>
      <c r="E62" s="618">
        <v>60</v>
      </c>
      <c r="F62" s="619"/>
      <c r="G62" s="619"/>
      <c r="H62" s="619"/>
      <c r="I62" s="619"/>
      <c r="J62" s="619"/>
      <c r="K62" s="619"/>
      <c r="L62" s="619"/>
    </row>
    <row r="63" spans="1:17" s="9" customFormat="1" ht="15.75">
      <c r="A63" s="1039"/>
      <c r="B63" s="1040" t="s">
        <v>45</v>
      </c>
      <c r="C63" s="742" t="s">
        <v>151</v>
      </c>
      <c r="D63" s="1041">
        <v>1</v>
      </c>
      <c r="E63" s="756">
        <f>D63*E62</f>
        <v>60</v>
      </c>
      <c r="F63" s="1042"/>
      <c r="G63" s="1042"/>
      <c r="H63" s="1042"/>
      <c r="I63" s="1042">
        <f>H63*E63</f>
        <v>0</v>
      </c>
      <c r="J63" s="1042"/>
      <c r="K63" s="1042"/>
      <c r="L63" s="1042">
        <f>K63+I63+G63</f>
        <v>0</v>
      </c>
      <c r="M63" s="1043"/>
      <c r="N63" s="1043"/>
      <c r="O63" s="1043"/>
      <c r="P63" s="1043"/>
      <c r="Q63" s="1043"/>
    </row>
    <row r="64" spans="1:17" s="9" customFormat="1" ht="28.9" customHeight="1">
      <c r="A64" s="557"/>
      <c r="B64" s="531" t="s">
        <v>233</v>
      </c>
      <c r="C64" s="557" t="s">
        <v>69</v>
      </c>
      <c r="D64" s="559"/>
      <c r="E64" s="539">
        <v>70</v>
      </c>
      <c r="F64" s="539"/>
      <c r="G64" s="558">
        <f>F64*E64</f>
        <v>0</v>
      </c>
      <c r="H64" s="558"/>
      <c r="I64" s="558"/>
      <c r="J64" s="558"/>
      <c r="K64" s="558"/>
      <c r="L64" s="558">
        <f>K64+I64+G64</f>
        <v>0</v>
      </c>
    </row>
    <row r="65" spans="1:16" s="219" customFormat="1" ht="17.45" customHeight="1">
      <c r="A65" s="764"/>
      <c r="B65" s="762" t="s">
        <v>138</v>
      </c>
      <c r="C65" s="742" t="s">
        <v>151</v>
      </c>
      <c r="D65" s="762"/>
      <c r="E65" s="750">
        <f>3/100*70</f>
        <v>2.1</v>
      </c>
      <c r="F65" s="756"/>
      <c r="G65" s="1044">
        <f>F65*E65</f>
        <v>0</v>
      </c>
      <c r="H65" s="1044"/>
      <c r="I65" s="1044"/>
      <c r="J65" s="1044"/>
      <c r="K65" s="1044"/>
      <c r="L65" s="1044">
        <f>K65+I65+G65</f>
        <v>0</v>
      </c>
      <c r="M65" s="1045"/>
      <c r="N65" s="1046"/>
      <c r="O65" s="1046"/>
      <c r="P65" s="1046"/>
    </row>
    <row r="66" spans="1:16" s="943" customFormat="1" ht="28.9" customHeight="1">
      <c r="A66" s="757">
        <v>3</v>
      </c>
      <c r="B66" s="758" t="s">
        <v>366</v>
      </c>
      <c r="C66" s="949" t="s">
        <v>367</v>
      </c>
      <c r="D66" s="738"/>
      <c r="E66" s="788">
        <v>6</v>
      </c>
      <c r="F66" s="950"/>
      <c r="G66" s="769"/>
      <c r="H66" s="892"/>
      <c r="I66" s="770"/>
      <c r="J66" s="892"/>
      <c r="K66" s="770"/>
      <c r="L66" s="770"/>
    </row>
    <row r="67" spans="1:16" s="943" customFormat="1" ht="28.9" customHeight="1">
      <c r="A67" s="761"/>
      <c r="B67" s="763" t="s">
        <v>55</v>
      </c>
      <c r="C67" s="944" t="s">
        <v>46</v>
      </c>
      <c r="D67" s="742">
        <v>2.16</v>
      </c>
      <c r="E67" s="945">
        <f>D67*E66</f>
        <v>12.96</v>
      </c>
      <c r="F67" s="946"/>
      <c r="G67" s="749"/>
      <c r="H67" s="746"/>
      <c r="I67" s="746">
        <f>H67*E67</f>
        <v>0</v>
      </c>
      <c r="J67" s="746"/>
      <c r="K67" s="746"/>
      <c r="L67" s="746">
        <f>K67+I67+G67</f>
        <v>0</v>
      </c>
    </row>
    <row r="68" spans="1:16" s="943" customFormat="1" ht="28.9" customHeight="1">
      <c r="A68" s="761"/>
      <c r="B68" s="763" t="s">
        <v>368</v>
      </c>
      <c r="C68" s="947" t="s">
        <v>47</v>
      </c>
      <c r="D68" s="742">
        <v>0.85</v>
      </c>
      <c r="E68" s="945">
        <f>D68*E66</f>
        <v>5.0999999999999996</v>
      </c>
      <c r="F68" s="946"/>
      <c r="G68" s="749"/>
      <c r="H68" s="746"/>
      <c r="I68" s="749"/>
      <c r="J68" s="746"/>
      <c r="K68" s="746">
        <f>J68*E68</f>
        <v>0</v>
      </c>
      <c r="L68" s="746">
        <f t="shared" ref="L68:L69" si="14">K68+I68+G68</f>
        <v>0</v>
      </c>
    </row>
    <row r="69" spans="1:16" s="943" customFormat="1" ht="28.9" customHeight="1">
      <c r="A69" s="761"/>
      <c r="B69" s="763" t="s">
        <v>369</v>
      </c>
      <c r="C69" s="947" t="s">
        <v>47</v>
      </c>
      <c r="D69" s="742">
        <v>0.76</v>
      </c>
      <c r="E69" s="945">
        <f>D69*E66</f>
        <v>4.5600000000000005</v>
      </c>
      <c r="F69" s="946"/>
      <c r="G69" s="749"/>
      <c r="H69" s="746"/>
      <c r="I69" s="749"/>
      <c r="J69" s="746"/>
      <c r="K69" s="746">
        <f>J69*E69</f>
        <v>0</v>
      </c>
      <c r="L69" s="746">
        <f t="shared" si="14"/>
        <v>0</v>
      </c>
    </row>
    <row r="70" spans="1:16" s="943" customFormat="1" ht="28.9" customHeight="1">
      <c r="A70" s="761"/>
      <c r="B70" s="763" t="s">
        <v>370</v>
      </c>
      <c r="C70" s="944" t="s">
        <v>65</v>
      </c>
      <c r="D70" s="742">
        <v>1</v>
      </c>
      <c r="E70" s="756">
        <f>D70*E66</f>
        <v>6</v>
      </c>
      <c r="F70" s="946"/>
      <c r="G70" s="746">
        <f>E70*F70</f>
        <v>0</v>
      </c>
      <c r="H70" s="746"/>
      <c r="I70" s="749"/>
      <c r="J70" s="746"/>
      <c r="K70" s="749"/>
      <c r="L70" s="749">
        <f>G70+I70+K70</f>
        <v>0</v>
      </c>
    </row>
    <row r="71" spans="1:16" s="1" customFormat="1" ht="28.9" customHeight="1">
      <c r="A71" s="761"/>
      <c r="B71" s="763"/>
      <c r="C71" s="944"/>
      <c r="D71" s="742"/>
      <c r="E71" s="945"/>
      <c r="F71" s="946"/>
      <c r="G71" s="749"/>
      <c r="H71" s="746"/>
      <c r="I71" s="749"/>
      <c r="J71" s="746"/>
      <c r="K71" s="749"/>
      <c r="L71" s="749"/>
    </row>
    <row r="72" spans="1:16" s="3" customFormat="1" ht="28.9" customHeight="1">
      <c r="A72" s="757">
        <v>4</v>
      </c>
      <c r="B72" s="758" t="s">
        <v>371</v>
      </c>
      <c r="C72" s="951" t="s">
        <v>358</v>
      </c>
      <c r="D72" s="738"/>
      <c r="E72" s="952">
        <f>0.165*2</f>
        <v>0.33</v>
      </c>
      <c r="F72" s="950"/>
      <c r="G72" s="769"/>
      <c r="H72" s="741"/>
      <c r="I72" s="769"/>
      <c r="J72" s="741"/>
      <c r="K72" s="769"/>
      <c r="L72" s="769"/>
    </row>
    <row r="73" spans="1:16" s="943" customFormat="1" ht="28.9" customHeight="1">
      <c r="A73" s="761"/>
      <c r="B73" s="763" t="s">
        <v>55</v>
      </c>
      <c r="C73" s="944" t="s">
        <v>46</v>
      </c>
      <c r="D73" s="742">
        <v>1.39</v>
      </c>
      <c r="E73" s="945">
        <f>D73*E72</f>
        <v>0.4587</v>
      </c>
      <c r="F73" s="946"/>
      <c r="G73" s="749"/>
      <c r="H73" s="746"/>
      <c r="I73" s="746">
        <f>H73*E73</f>
        <v>0</v>
      </c>
      <c r="J73" s="746"/>
      <c r="K73" s="746"/>
      <c r="L73" s="746">
        <f>K73+I73+G73</f>
        <v>0</v>
      </c>
    </row>
    <row r="74" spans="1:16" s="943" customFormat="1" ht="28.9" customHeight="1">
      <c r="A74" s="761"/>
      <c r="B74" s="763" t="s">
        <v>372</v>
      </c>
      <c r="C74" s="947" t="s">
        <v>47</v>
      </c>
      <c r="D74" s="742">
        <v>0.68</v>
      </c>
      <c r="E74" s="945">
        <f>D74*E72</f>
        <v>0.22440000000000002</v>
      </c>
      <c r="F74" s="746"/>
      <c r="G74" s="749"/>
      <c r="H74" s="746"/>
      <c r="I74" s="749"/>
      <c r="J74" s="746"/>
      <c r="K74" s="746">
        <f>E74*J74</f>
        <v>0</v>
      </c>
      <c r="L74" s="746">
        <f>G74+I74+K74</f>
        <v>0</v>
      </c>
    </row>
    <row r="75" spans="1:16" s="943" customFormat="1" ht="28.9" customHeight="1">
      <c r="A75" s="761"/>
      <c r="B75" s="763" t="s">
        <v>373</v>
      </c>
      <c r="C75" s="835" t="s">
        <v>374</v>
      </c>
      <c r="D75" s="742">
        <v>1.02</v>
      </c>
      <c r="E75" s="948">
        <f>D75*E72</f>
        <v>0.33660000000000001</v>
      </c>
      <c r="F75" s="946"/>
      <c r="G75" s="746">
        <f>E75*F75</f>
        <v>0</v>
      </c>
      <c r="H75" s="746"/>
      <c r="I75" s="749"/>
      <c r="J75" s="746"/>
      <c r="K75" s="749"/>
      <c r="L75" s="749">
        <f>G75+I75+K75</f>
        <v>0</v>
      </c>
    </row>
    <row r="76" spans="1:16" s="219" customFormat="1" ht="28.9" customHeight="1">
      <c r="A76" s="587"/>
      <c r="B76" s="588"/>
      <c r="C76" s="564"/>
      <c r="D76" s="564"/>
      <c r="E76" s="564"/>
      <c r="F76" s="546"/>
      <c r="G76" s="574"/>
      <c r="H76" s="574"/>
      <c r="I76" s="574"/>
      <c r="J76" s="574"/>
      <c r="K76" s="574"/>
      <c r="L76" s="574"/>
    </row>
    <row r="77" spans="1:16" s="53" customFormat="1" ht="28.9" customHeight="1">
      <c r="A77" s="901"/>
      <c r="B77" s="901" t="s">
        <v>21</v>
      </c>
      <c r="C77" s="901"/>
      <c r="D77" s="902"/>
      <c r="E77" s="903"/>
      <c r="F77" s="903"/>
      <c r="G77" s="904">
        <f>SUM(G60:G76)</f>
        <v>0</v>
      </c>
      <c r="H77" s="904"/>
      <c r="I77" s="904">
        <f>SUM(I60:I76)</f>
        <v>0</v>
      </c>
      <c r="J77" s="904"/>
      <c r="K77" s="904">
        <f>SUM(K60:K76)</f>
        <v>0</v>
      </c>
      <c r="L77" s="904">
        <f>SUM(L60:L76)</f>
        <v>0</v>
      </c>
    </row>
    <row r="78" spans="1:16" s="197" customFormat="1" ht="28.9" customHeight="1">
      <c r="A78" s="750"/>
      <c r="B78" s="763" t="s">
        <v>356</v>
      </c>
      <c r="C78" s="899">
        <v>0.05</v>
      </c>
      <c r="D78" s="752"/>
      <c r="E78" s="753"/>
      <c r="F78" s="753"/>
      <c r="G78" s="756"/>
      <c r="H78" s="753"/>
      <c r="I78" s="756"/>
      <c r="J78" s="781"/>
      <c r="K78" s="756"/>
      <c r="L78" s="756">
        <f>G77*C78</f>
        <v>0</v>
      </c>
    </row>
    <row r="79" spans="1:16" s="197" customFormat="1" ht="28.9" customHeight="1">
      <c r="A79" s="750"/>
      <c r="B79" s="129" t="s">
        <v>21</v>
      </c>
      <c r="C79" s="742"/>
      <c r="D79" s="752"/>
      <c r="E79" s="753"/>
      <c r="F79" s="753"/>
      <c r="G79" s="756"/>
      <c r="H79" s="753"/>
      <c r="I79" s="756"/>
      <c r="J79" s="781"/>
      <c r="K79" s="756"/>
      <c r="L79" s="900">
        <f>L77+L78</f>
        <v>0</v>
      </c>
    </row>
    <row r="80" spans="1:16" s="54" customFormat="1" ht="28.9" customHeight="1">
      <c r="A80" s="545"/>
      <c r="B80" s="537" t="s">
        <v>94</v>
      </c>
      <c r="C80" s="589">
        <v>0.1</v>
      </c>
      <c r="D80" s="538"/>
      <c r="E80" s="539"/>
      <c r="F80" s="539"/>
      <c r="G80" s="582"/>
      <c r="H80" s="582"/>
      <c r="I80" s="582"/>
      <c r="J80" s="582"/>
      <c r="K80" s="582"/>
      <c r="L80" s="582">
        <f>L79*C80</f>
        <v>0</v>
      </c>
    </row>
    <row r="81" spans="1:12" s="53" customFormat="1" ht="28.9" customHeight="1">
      <c r="A81" s="545"/>
      <c r="B81" s="537" t="s">
        <v>21</v>
      </c>
      <c r="C81" s="590"/>
      <c r="D81" s="538"/>
      <c r="E81" s="561"/>
      <c r="F81" s="561"/>
      <c r="G81" s="584"/>
      <c r="H81" s="584"/>
      <c r="I81" s="584"/>
      <c r="J81" s="584"/>
      <c r="K81" s="584"/>
      <c r="L81" s="584">
        <f>L79+L80</f>
        <v>0</v>
      </c>
    </row>
    <row r="82" spans="1:12" s="54" customFormat="1" ht="28.9" customHeight="1">
      <c r="A82" s="545"/>
      <c r="B82" s="570" t="s">
        <v>97</v>
      </c>
      <c r="C82" s="591">
        <v>0.08</v>
      </c>
      <c r="D82" s="538"/>
      <c r="E82" s="539"/>
      <c r="F82" s="539"/>
      <c r="G82" s="582"/>
      <c r="H82" s="582"/>
      <c r="I82" s="582"/>
      <c r="J82" s="582"/>
      <c r="K82" s="582"/>
      <c r="L82" s="582">
        <f>L81*C82</f>
        <v>0</v>
      </c>
    </row>
    <row r="83" spans="1:12" s="53" customFormat="1" ht="28.9" customHeight="1">
      <c r="A83" s="545"/>
      <c r="B83" s="537" t="s">
        <v>21</v>
      </c>
      <c r="C83" s="545"/>
      <c r="D83" s="537"/>
      <c r="E83" s="561"/>
      <c r="F83" s="561"/>
      <c r="G83" s="584"/>
      <c r="H83" s="584"/>
      <c r="I83" s="584"/>
      <c r="J83" s="584"/>
      <c r="K83" s="584"/>
      <c r="L83" s="584">
        <f>SUM(L81:L82)</f>
        <v>0</v>
      </c>
    </row>
    <row r="84" spans="1:12" s="72" customFormat="1" ht="28.9" customHeight="1">
      <c r="A84" s="545"/>
      <c r="B84" s="545" t="s">
        <v>22</v>
      </c>
      <c r="C84" s="545"/>
      <c r="D84" s="545"/>
      <c r="E84" s="561"/>
      <c r="F84" s="561"/>
      <c r="G84" s="584"/>
      <c r="H84" s="584"/>
      <c r="I84" s="584"/>
      <c r="J84" s="584"/>
      <c r="K84" s="584"/>
      <c r="L84" s="584">
        <f>L83+L57</f>
        <v>0</v>
      </c>
    </row>
    <row r="85" spans="1:12" s="314" customFormat="1" ht="28.9" customHeight="1">
      <c r="A85" s="592"/>
      <c r="B85" s="594" t="s">
        <v>106</v>
      </c>
      <c r="C85" s="593"/>
      <c r="D85" s="593"/>
      <c r="E85" s="593"/>
      <c r="F85" s="593"/>
      <c r="G85" s="593"/>
      <c r="H85" s="595"/>
      <c r="I85" s="593"/>
      <c r="J85" s="595"/>
      <c r="K85" s="593"/>
      <c r="L85" s="596">
        <f>L83</f>
        <v>0</v>
      </c>
    </row>
    <row r="86" spans="1:12" s="314" customFormat="1" ht="28.9" customHeight="1">
      <c r="A86" s="592"/>
      <c r="B86" s="594" t="s">
        <v>18</v>
      </c>
      <c r="C86" s="593"/>
      <c r="D86" s="593"/>
      <c r="E86" s="593"/>
      <c r="F86" s="593"/>
      <c r="G86" s="593"/>
      <c r="H86" s="595"/>
      <c r="I86" s="593"/>
      <c r="J86" s="595"/>
      <c r="K86" s="593"/>
      <c r="L86" s="596">
        <f>L57</f>
        <v>0</v>
      </c>
    </row>
  </sheetData>
  <autoFilter ref="A8:L86"/>
  <mergeCells count="10">
    <mergeCell ref="A2:L2"/>
    <mergeCell ref="A4:L4"/>
    <mergeCell ref="A6:A7"/>
    <mergeCell ref="B6:B7"/>
    <mergeCell ref="C6:C7"/>
    <mergeCell ref="D6:E6"/>
    <mergeCell ref="F6:G6"/>
    <mergeCell ref="H6:I6"/>
    <mergeCell ref="J6:K6"/>
    <mergeCell ref="L6:L7"/>
  </mergeCells>
  <pageMargins left="0.25" right="0.2" top="0.25" bottom="0.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72"/>
  <sheetViews>
    <sheetView topLeftCell="A5" zoomScaleNormal="100" zoomScaleSheetLayoutView="100" workbookViewId="0">
      <selection activeCell="K30" sqref="K30:L46"/>
    </sheetView>
  </sheetViews>
  <sheetFormatPr defaultColWidth="9.140625" defaultRowHeight="15"/>
  <cols>
    <col min="1" max="1" width="3.85546875" style="44" customWidth="1"/>
    <col min="2" max="2" width="43" style="45" customWidth="1"/>
    <col min="3" max="3" width="9.7109375" style="20" customWidth="1"/>
    <col min="4" max="4" width="7.28515625" style="63" customWidth="1"/>
    <col min="5" max="5" width="9" style="63" customWidth="1"/>
    <col min="6" max="6" width="8.7109375" style="63" customWidth="1"/>
    <col min="7" max="7" width="8.42578125" style="63" customWidth="1"/>
    <col min="8" max="8" width="8" style="289" customWidth="1"/>
    <col min="9" max="9" width="9" style="63" customWidth="1"/>
    <col min="10" max="10" width="8.140625" style="229" customWidth="1"/>
    <col min="11" max="11" width="8.28515625" style="63" customWidth="1"/>
    <col min="12" max="12" width="10.42578125" style="63" customWidth="1"/>
    <col min="13" max="25" width="9.140625" style="391"/>
    <col min="26" max="16384" width="9.140625" style="1"/>
  </cols>
  <sheetData>
    <row r="1" spans="1:12">
      <c r="A1" s="64"/>
      <c r="B1" s="65"/>
      <c r="C1" s="65"/>
      <c r="D1" s="65"/>
      <c r="E1" s="65"/>
      <c r="F1" s="65"/>
      <c r="G1" s="65"/>
      <c r="H1" s="278"/>
      <c r="I1" s="65"/>
      <c r="J1" s="69"/>
      <c r="K1" s="65"/>
      <c r="L1" s="65"/>
    </row>
    <row r="2" spans="1:12" ht="16.5" customHeight="1">
      <c r="A2" s="1099" t="s">
        <v>255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</row>
    <row r="3" spans="1:12" ht="21">
      <c r="A3" s="66"/>
      <c r="B3" s="67"/>
      <c r="C3" s="68"/>
      <c r="D3" s="68"/>
      <c r="E3" s="68"/>
      <c r="F3" s="68"/>
      <c r="G3" s="68"/>
      <c r="H3" s="279"/>
      <c r="I3" s="68"/>
      <c r="J3" s="70"/>
      <c r="K3" s="68"/>
      <c r="L3" s="68"/>
    </row>
    <row r="4" spans="1:12" ht="16.5">
      <c r="A4" s="1099" t="s">
        <v>256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</row>
    <row r="5" spans="1:12" ht="21">
      <c r="A5" s="66"/>
      <c r="B5" s="67"/>
      <c r="C5" s="68"/>
      <c r="D5" s="68"/>
      <c r="E5" s="68"/>
      <c r="F5" s="68"/>
      <c r="G5" s="68"/>
      <c r="H5" s="279"/>
      <c r="I5" s="68"/>
      <c r="J5" s="70"/>
      <c r="K5" s="68"/>
      <c r="L5" s="68"/>
    </row>
    <row r="6" spans="1:12" ht="27" customHeight="1">
      <c r="A6" s="1087" t="s">
        <v>13</v>
      </c>
      <c r="B6" s="1087" t="s">
        <v>27</v>
      </c>
      <c r="C6" s="1087" t="s">
        <v>35</v>
      </c>
      <c r="D6" s="1100" t="s">
        <v>36</v>
      </c>
      <c r="E6" s="1101"/>
      <c r="F6" s="1087" t="s">
        <v>37</v>
      </c>
      <c r="G6" s="1087"/>
      <c r="H6" s="1087" t="s">
        <v>38</v>
      </c>
      <c r="I6" s="1087"/>
      <c r="J6" s="1087" t="s">
        <v>39</v>
      </c>
      <c r="K6" s="1087"/>
      <c r="L6" s="1102" t="s">
        <v>40</v>
      </c>
    </row>
    <row r="7" spans="1:12" ht="40.5">
      <c r="A7" s="1087"/>
      <c r="B7" s="1087"/>
      <c r="C7" s="1087"/>
      <c r="D7" s="73" t="s">
        <v>41</v>
      </c>
      <c r="E7" s="547" t="s">
        <v>22</v>
      </c>
      <c r="F7" s="73" t="s">
        <v>42</v>
      </c>
      <c r="G7" s="547" t="s">
        <v>43</v>
      </c>
      <c r="H7" s="548" t="s">
        <v>42</v>
      </c>
      <c r="I7" s="547" t="s">
        <v>43</v>
      </c>
      <c r="J7" s="73" t="s">
        <v>42</v>
      </c>
      <c r="K7" s="547" t="s">
        <v>43</v>
      </c>
      <c r="L7" s="1103"/>
    </row>
    <row r="8" spans="1:12">
      <c r="A8" s="74">
        <v>1</v>
      </c>
      <c r="B8" s="74">
        <v>2</v>
      </c>
      <c r="C8" s="75">
        <v>3</v>
      </c>
      <c r="D8" s="74">
        <v>4</v>
      </c>
      <c r="E8" s="74">
        <v>5</v>
      </c>
      <c r="F8" s="74">
        <v>6</v>
      </c>
      <c r="G8" s="76">
        <v>7</v>
      </c>
      <c r="H8" s="280">
        <v>8</v>
      </c>
      <c r="I8" s="76">
        <v>9</v>
      </c>
      <c r="J8" s="74">
        <v>10</v>
      </c>
      <c r="K8" s="74">
        <v>11</v>
      </c>
      <c r="L8" s="74">
        <v>12</v>
      </c>
    </row>
    <row r="9" spans="1:12">
      <c r="A9" s="658"/>
      <c r="B9" s="686" t="s">
        <v>258</v>
      </c>
      <c r="C9" s="659"/>
      <c r="D9" s="658"/>
      <c r="E9" s="658"/>
      <c r="F9" s="658"/>
      <c r="G9" s="660"/>
      <c r="H9" s="661"/>
      <c r="I9" s="660"/>
      <c r="J9" s="658"/>
      <c r="K9" s="658"/>
      <c r="L9" s="658"/>
    </row>
    <row r="10" spans="1:12" s="665" customFormat="1" ht="16.5">
      <c r="A10" s="662">
        <v>1</v>
      </c>
      <c r="B10" s="687" t="s">
        <v>259</v>
      </c>
      <c r="C10" s="663" t="s">
        <v>107</v>
      </c>
      <c r="D10" s="663"/>
      <c r="E10" s="663">
        <v>2</v>
      </c>
      <c r="F10" s="664"/>
      <c r="G10" s="664"/>
      <c r="H10" s="664"/>
      <c r="I10" s="664"/>
      <c r="J10" s="664"/>
      <c r="K10" s="664"/>
      <c r="L10" s="664"/>
    </row>
    <row r="11" spans="1:12" s="672" customFormat="1" ht="16.5">
      <c r="A11" s="997"/>
      <c r="B11" s="998" t="s">
        <v>45</v>
      </c>
      <c r="C11" s="999" t="s">
        <v>107</v>
      </c>
      <c r="D11" s="1000">
        <v>1</v>
      </c>
      <c r="E11" s="1000">
        <f>E10*D11</f>
        <v>2</v>
      </c>
      <c r="F11" s="1001"/>
      <c r="G11" s="1001"/>
      <c r="H11" s="1001"/>
      <c r="I11" s="1001">
        <f>H11*E11</f>
        <v>0</v>
      </c>
      <c r="J11" s="1001"/>
      <c r="K11" s="1001"/>
      <c r="L11" s="1001">
        <f>I11</f>
        <v>0</v>
      </c>
    </row>
    <row r="12" spans="1:12" s="672" customFormat="1" ht="15.75">
      <c r="A12" s="673"/>
      <c r="B12" s="674" t="s">
        <v>53</v>
      </c>
      <c r="C12" s="675" t="s">
        <v>2</v>
      </c>
      <c r="D12" s="667">
        <v>4.8600000000000003</v>
      </c>
      <c r="E12" s="667">
        <f>D12*E10</f>
        <v>9.7200000000000006</v>
      </c>
      <c r="F12" s="676"/>
      <c r="G12" s="676"/>
      <c r="H12" s="676"/>
      <c r="I12" s="676"/>
      <c r="J12" s="676"/>
      <c r="K12" s="676">
        <f>J12*E12</f>
        <v>0</v>
      </c>
      <c r="L12" s="677">
        <f t="shared" ref="L12:L17" si="0">K12+I12+G12</f>
        <v>0</v>
      </c>
    </row>
    <row r="13" spans="1:12" s="672" customFormat="1" ht="30">
      <c r="A13" s="666"/>
      <c r="B13" s="678" t="s">
        <v>260</v>
      </c>
      <c r="C13" s="669" t="s">
        <v>107</v>
      </c>
      <c r="D13" s="670"/>
      <c r="E13" s="670">
        <v>2</v>
      </c>
      <c r="F13" s="671"/>
      <c r="G13" s="676">
        <f>F13*E13</f>
        <v>0</v>
      </c>
      <c r="H13" s="676"/>
      <c r="I13" s="676"/>
      <c r="J13" s="676"/>
      <c r="K13" s="676"/>
      <c r="L13" s="634">
        <f t="shared" si="0"/>
        <v>0</v>
      </c>
    </row>
    <row r="14" spans="1:12" s="672" customFormat="1" ht="25.5" customHeight="1">
      <c r="A14" s="679"/>
      <c r="B14" s="680" t="s">
        <v>261</v>
      </c>
      <c r="C14" s="681" t="s">
        <v>69</v>
      </c>
      <c r="D14" s="681"/>
      <c r="E14" s="681">
        <v>12</v>
      </c>
      <c r="F14" s="1011"/>
      <c r="G14" s="676">
        <f>F14*E14</f>
        <v>0</v>
      </c>
      <c r="H14" s="676"/>
      <c r="I14" s="676"/>
      <c r="J14" s="676"/>
      <c r="K14" s="676"/>
      <c r="L14" s="634">
        <f t="shared" si="0"/>
        <v>0</v>
      </c>
    </row>
    <row r="15" spans="1:12" s="672" customFormat="1" ht="25.5" customHeight="1">
      <c r="A15" s="679"/>
      <c r="B15" s="680" t="s">
        <v>438</v>
      </c>
      <c r="C15" s="681" t="s">
        <v>69</v>
      </c>
      <c r="D15" s="681"/>
      <c r="E15" s="681">
        <v>12</v>
      </c>
      <c r="F15" s="1011"/>
      <c r="G15" s="676">
        <f>F15*E15</f>
        <v>0</v>
      </c>
      <c r="H15" s="676"/>
      <c r="I15" s="676"/>
      <c r="J15" s="676"/>
      <c r="K15" s="676"/>
      <c r="L15" s="634">
        <f t="shared" si="0"/>
        <v>0</v>
      </c>
    </row>
    <row r="16" spans="1:12" s="672" customFormat="1" ht="30">
      <c r="A16" s="682"/>
      <c r="B16" s="683" t="s">
        <v>257</v>
      </c>
      <c r="C16" s="684" t="s">
        <v>107</v>
      </c>
      <c r="D16" s="684"/>
      <c r="E16" s="684">
        <v>2</v>
      </c>
      <c r="F16" s="961"/>
      <c r="G16" s="685">
        <f>F16*E16</f>
        <v>0</v>
      </c>
      <c r="H16" s="685"/>
      <c r="I16" s="685"/>
      <c r="J16" s="685"/>
      <c r="K16" s="685"/>
      <c r="L16" s="677">
        <f t="shared" si="0"/>
        <v>0</v>
      </c>
    </row>
    <row r="17" spans="1:12" s="672" customFormat="1" ht="15.75">
      <c r="A17" s="673"/>
      <c r="B17" s="674" t="s">
        <v>54</v>
      </c>
      <c r="C17" s="675" t="s">
        <v>2</v>
      </c>
      <c r="D17" s="667">
        <v>4.0599999999999996</v>
      </c>
      <c r="E17" s="667">
        <f>D17*E10</f>
        <v>8.1199999999999992</v>
      </c>
      <c r="F17" s="676"/>
      <c r="G17" s="676">
        <f>F17*E17</f>
        <v>0</v>
      </c>
      <c r="H17" s="676"/>
      <c r="I17" s="676"/>
      <c r="J17" s="676"/>
      <c r="K17" s="676"/>
      <c r="L17" s="677">
        <f t="shared" si="0"/>
        <v>0</v>
      </c>
    </row>
    <row r="18" spans="1:12" ht="41.25">
      <c r="A18" s="520">
        <v>2</v>
      </c>
      <c r="B18" s="358" t="s">
        <v>262</v>
      </c>
      <c r="C18" s="663" t="s">
        <v>107</v>
      </c>
      <c r="D18" s="635"/>
      <c r="E18" s="654">
        <v>1</v>
      </c>
      <c r="F18" s="650"/>
      <c r="G18" s="651"/>
      <c r="H18" s="652"/>
      <c r="I18" s="653"/>
      <c r="J18" s="653"/>
      <c r="K18" s="653"/>
      <c r="L18" s="651"/>
    </row>
    <row r="19" spans="1:12" s="672" customFormat="1" ht="16.5">
      <c r="A19" s="666"/>
      <c r="B19" s="668" t="s">
        <v>45</v>
      </c>
      <c r="C19" s="669" t="s">
        <v>46</v>
      </c>
      <c r="D19" s="670">
        <v>6.09</v>
      </c>
      <c r="E19" s="670">
        <f>E18*D19</f>
        <v>6.09</v>
      </c>
      <c r="F19" s="671"/>
      <c r="G19" s="671"/>
      <c r="H19" s="671"/>
      <c r="I19" s="671">
        <f>H19*E19</f>
        <v>0</v>
      </c>
      <c r="J19" s="671"/>
      <c r="K19" s="671"/>
      <c r="L19" s="671">
        <f>I19</f>
        <v>0</v>
      </c>
    </row>
    <row r="20" spans="1:12" s="672" customFormat="1" ht="15.75">
      <c r="A20" s="673"/>
      <c r="B20" s="674" t="s">
        <v>53</v>
      </c>
      <c r="C20" s="675" t="s">
        <v>2</v>
      </c>
      <c r="D20" s="667">
        <v>0.21</v>
      </c>
      <c r="E20" s="667">
        <f>D20*E18</f>
        <v>0.21</v>
      </c>
      <c r="F20" s="676"/>
      <c r="G20" s="676"/>
      <c r="H20" s="676"/>
      <c r="I20" s="676"/>
      <c r="J20" s="676"/>
      <c r="K20" s="676">
        <f>J20*E20</f>
        <v>0</v>
      </c>
      <c r="L20" s="677">
        <f>K20+I20+G20</f>
        <v>0</v>
      </c>
    </row>
    <row r="21" spans="1:12" ht="27.75">
      <c r="A21" s="632"/>
      <c r="B21" s="236" t="s">
        <v>263</v>
      </c>
      <c r="C21" s="681" t="s">
        <v>107</v>
      </c>
      <c r="D21" s="640"/>
      <c r="E21" s="959">
        <v>1</v>
      </c>
      <c r="F21" s="867"/>
      <c r="G21" s="676">
        <f>F21*E21</f>
        <v>0</v>
      </c>
      <c r="H21" s="676"/>
      <c r="I21" s="676"/>
      <c r="J21" s="676"/>
      <c r="K21" s="676"/>
      <c r="L21" s="677">
        <f>K21+I21+G21</f>
        <v>0</v>
      </c>
    </row>
    <row r="22" spans="1:12" s="672" customFormat="1" ht="15.75">
      <c r="A22" s="673"/>
      <c r="B22" s="674" t="s">
        <v>54</v>
      </c>
      <c r="C22" s="675" t="s">
        <v>2</v>
      </c>
      <c r="D22" s="667">
        <v>0.31</v>
      </c>
      <c r="E22" s="667">
        <f>D22*E18</f>
        <v>0.31</v>
      </c>
      <c r="F22" s="676"/>
      <c r="G22" s="676">
        <f>F22*E22</f>
        <v>0</v>
      </c>
      <c r="H22" s="676"/>
      <c r="I22" s="676"/>
      <c r="J22" s="676"/>
      <c r="K22" s="676"/>
      <c r="L22" s="677">
        <f>K22+I22+G22</f>
        <v>0</v>
      </c>
    </row>
    <row r="23" spans="1:12" ht="27.75">
      <c r="A23" s="632">
        <v>3</v>
      </c>
      <c r="B23" s="358" t="s">
        <v>264</v>
      </c>
      <c r="C23" s="663" t="s">
        <v>107</v>
      </c>
      <c r="D23" s="635"/>
      <c r="E23" s="654">
        <v>1</v>
      </c>
      <c r="F23" s="650"/>
      <c r="G23" s="651"/>
      <c r="H23" s="652"/>
      <c r="I23" s="653"/>
      <c r="J23" s="653"/>
      <c r="K23" s="653"/>
      <c r="L23" s="651"/>
    </row>
    <row r="24" spans="1:12" s="672" customFormat="1" ht="16.5">
      <c r="A24" s="666"/>
      <c r="B24" s="668" t="s">
        <v>45</v>
      </c>
      <c r="C24" s="669" t="s">
        <v>46</v>
      </c>
      <c r="D24" s="670">
        <v>3.8</v>
      </c>
      <c r="E24" s="670">
        <f>E23*D24</f>
        <v>3.8</v>
      </c>
      <c r="F24" s="671"/>
      <c r="G24" s="671"/>
      <c r="H24" s="671"/>
      <c r="I24" s="671">
        <f>H24*E24</f>
        <v>0</v>
      </c>
      <c r="J24" s="671"/>
      <c r="K24" s="671"/>
      <c r="L24" s="671">
        <f>I24</f>
        <v>0</v>
      </c>
    </row>
    <row r="25" spans="1:12" s="672" customFormat="1" ht="15.75">
      <c r="A25" s="673"/>
      <c r="B25" s="674" t="s">
        <v>53</v>
      </c>
      <c r="C25" s="675" t="s">
        <v>2</v>
      </c>
      <c r="D25" s="667">
        <v>0.08</v>
      </c>
      <c r="E25" s="667">
        <f>D25*E23</f>
        <v>0.08</v>
      </c>
      <c r="F25" s="676"/>
      <c r="G25" s="676"/>
      <c r="H25" s="676"/>
      <c r="I25" s="676"/>
      <c r="J25" s="676"/>
      <c r="K25" s="676">
        <f>J25*E25</f>
        <v>0</v>
      </c>
      <c r="L25" s="677">
        <f>K25+I25+G25</f>
        <v>0</v>
      </c>
    </row>
    <row r="26" spans="1:12" s="391" customFormat="1" ht="27.75">
      <c r="A26" s="549"/>
      <c r="B26" s="236" t="s">
        <v>265</v>
      </c>
      <c r="C26" s="681" t="s">
        <v>107</v>
      </c>
      <c r="D26" s="640"/>
      <c r="E26" s="959">
        <v>1</v>
      </c>
      <c r="F26" s="960"/>
      <c r="G26" s="676">
        <f>F26*E26</f>
        <v>0</v>
      </c>
      <c r="H26" s="676"/>
      <c r="I26" s="676"/>
      <c r="J26" s="676"/>
      <c r="K26" s="676"/>
      <c r="L26" s="677">
        <f>K26+I26+G26</f>
        <v>0</v>
      </c>
    </row>
    <row r="27" spans="1:12" s="672" customFormat="1" ht="15.75">
      <c r="A27" s="673"/>
      <c r="B27" s="674" t="s">
        <v>54</v>
      </c>
      <c r="C27" s="675" t="s">
        <v>2</v>
      </c>
      <c r="D27" s="667">
        <v>0.66</v>
      </c>
      <c r="E27" s="667">
        <f>D27*E23</f>
        <v>0.66</v>
      </c>
      <c r="F27" s="676"/>
      <c r="G27" s="676">
        <f>F27*E27</f>
        <v>0</v>
      </c>
      <c r="H27" s="676"/>
      <c r="I27" s="676"/>
      <c r="J27" s="676"/>
      <c r="K27" s="676"/>
      <c r="L27" s="677">
        <f>K27+I27+G27</f>
        <v>0</v>
      </c>
    </row>
    <row r="28" spans="1:12" s="420" customFormat="1" ht="27">
      <c r="A28" s="688">
        <v>4</v>
      </c>
      <c r="B28" s="689" t="s">
        <v>267</v>
      </c>
      <c r="C28" s="690" t="s">
        <v>135</v>
      </c>
      <c r="D28" s="691"/>
      <c r="E28" s="692">
        <f>2*3.14*0.075*6</f>
        <v>2.8259999999999996</v>
      </c>
      <c r="F28" s="693"/>
      <c r="G28" s="694"/>
      <c r="H28" s="693"/>
      <c r="I28" s="694"/>
      <c r="J28" s="693"/>
      <c r="K28" s="694"/>
      <c r="L28" s="693"/>
    </row>
    <row r="29" spans="1:12" s="433" customFormat="1">
      <c r="A29" s="649"/>
      <c r="B29" s="637" t="s">
        <v>45</v>
      </c>
      <c r="C29" s="638" t="s">
        <v>46</v>
      </c>
      <c r="D29" s="695">
        <f>1.54</f>
        <v>1.54</v>
      </c>
      <c r="E29" s="634">
        <f>D29*E28</f>
        <v>4.3520399999999997</v>
      </c>
      <c r="F29" s="634"/>
      <c r="G29" s="696"/>
      <c r="H29" s="634"/>
      <c r="I29" s="634">
        <f>H29*E29</f>
        <v>0</v>
      </c>
      <c r="J29" s="634"/>
      <c r="K29" s="696"/>
      <c r="L29" s="634">
        <f t="shared" ref="L29:L33" si="1">K29+I29+G29</f>
        <v>0</v>
      </c>
    </row>
    <row r="30" spans="1:12" s="433" customFormat="1">
      <c r="A30" s="649"/>
      <c r="B30" s="697" t="s">
        <v>53</v>
      </c>
      <c r="C30" s="697" t="s">
        <v>2</v>
      </c>
      <c r="D30" s="695">
        <v>3.73E-2</v>
      </c>
      <c r="E30" s="634">
        <f>D30*E28</f>
        <v>0.10540979999999998</v>
      </c>
      <c r="F30" s="634"/>
      <c r="G30" s="696"/>
      <c r="H30" s="634"/>
      <c r="I30" s="696"/>
      <c r="J30" s="634"/>
      <c r="K30" s="634">
        <f>E30*J30</f>
        <v>0</v>
      </c>
      <c r="L30" s="634">
        <f t="shared" si="1"/>
        <v>0</v>
      </c>
    </row>
    <row r="31" spans="1:12" s="433" customFormat="1" ht="30">
      <c r="A31" s="698"/>
      <c r="B31" s="699" t="s">
        <v>266</v>
      </c>
      <c r="C31" s="700" t="s">
        <v>135</v>
      </c>
      <c r="D31" s="701"/>
      <c r="E31" s="957">
        <f>E28</f>
        <v>2.8259999999999996</v>
      </c>
      <c r="F31" s="521"/>
      <c r="G31" s="634">
        <f t="shared" ref="G31:G33" si="2">F31*E31</f>
        <v>0</v>
      </c>
      <c r="H31" s="702"/>
      <c r="I31" s="703"/>
      <c r="J31" s="702"/>
      <c r="K31" s="703"/>
      <c r="L31" s="634">
        <f t="shared" si="1"/>
        <v>0</v>
      </c>
    </row>
    <row r="32" spans="1:12" s="433" customFormat="1" ht="15.75">
      <c r="A32" s="698"/>
      <c r="B32" s="708" t="s">
        <v>136</v>
      </c>
      <c r="C32" s="700" t="s">
        <v>60</v>
      </c>
      <c r="D32" s="701">
        <v>0.65</v>
      </c>
      <c r="E32" s="958">
        <f>D32*E28</f>
        <v>1.8368999999999998</v>
      </c>
      <c r="F32" s="521"/>
      <c r="G32" s="634">
        <f t="shared" si="2"/>
        <v>0</v>
      </c>
      <c r="H32" s="702"/>
      <c r="I32" s="703"/>
      <c r="J32" s="702"/>
      <c r="K32" s="703"/>
      <c r="L32" s="634">
        <f t="shared" si="1"/>
        <v>0</v>
      </c>
    </row>
    <row r="33" spans="1:25" s="433" customFormat="1">
      <c r="A33" s="709"/>
      <c r="B33" s="697" t="s">
        <v>54</v>
      </c>
      <c r="C33" s="697" t="s">
        <v>2</v>
      </c>
      <c r="D33" s="710">
        <v>0.16900000000000001</v>
      </c>
      <c r="E33" s="711">
        <f>E28*D33</f>
        <v>0.47759399999999996</v>
      </c>
      <c r="F33" s="707"/>
      <c r="G33" s="707">
        <f t="shared" si="2"/>
        <v>0</v>
      </c>
      <c r="H33" s="704"/>
      <c r="I33" s="704"/>
      <c r="J33" s="705"/>
      <c r="K33" s="706"/>
      <c r="L33" s="707">
        <f t="shared" si="1"/>
        <v>0</v>
      </c>
    </row>
    <row r="34" spans="1:25" s="717" customFormat="1" ht="27.75">
      <c r="A34" s="688">
        <v>5</v>
      </c>
      <c r="B34" s="712" t="s">
        <v>171</v>
      </c>
      <c r="C34" s="713" t="s">
        <v>65</v>
      </c>
      <c r="D34" s="714"/>
      <c r="E34" s="715">
        <v>1</v>
      </c>
      <c r="F34" s="692"/>
      <c r="G34" s="716"/>
      <c r="H34" s="688"/>
      <c r="I34" s="688"/>
      <c r="J34" s="688"/>
      <c r="K34" s="692"/>
      <c r="L34" s="692"/>
    </row>
    <row r="35" spans="1:25" s="54" customFormat="1" ht="20.100000000000001" customHeight="1">
      <c r="A35" s="649"/>
      <c r="B35" s="718" t="s">
        <v>45</v>
      </c>
      <c r="C35" s="638" t="s">
        <v>46</v>
      </c>
      <c r="D35" s="695">
        <v>1.34</v>
      </c>
      <c r="E35" s="634">
        <f>D35*E34</f>
        <v>1.34</v>
      </c>
      <c r="F35" s="634"/>
      <c r="G35" s="696"/>
      <c r="H35" s="634"/>
      <c r="I35" s="634">
        <f>H35*E35</f>
        <v>0</v>
      </c>
      <c r="J35" s="634"/>
      <c r="K35" s="696"/>
      <c r="L35" s="634">
        <f t="shared" ref="L35:L36" si="3">K35+I35+G35</f>
        <v>0</v>
      </c>
    </row>
    <row r="36" spans="1:25" s="54" customFormat="1" ht="20.100000000000001" customHeight="1">
      <c r="A36" s="649"/>
      <c r="B36" s="719" t="s">
        <v>53</v>
      </c>
      <c r="C36" s="695" t="s">
        <v>2</v>
      </c>
      <c r="D36" s="695">
        <v>0.05</v>
      </c>
      <c r="E36" s="634">
        <f>D36*E34</f>
        <v>0.05</v>
      </c>
      <c r="F36" s="634"/>
      <c r="G36" s="696"/>
      <c r="H36" s="634"/>
      <c r="I36" s="696"/>
      <c r="J36" s="634"/>
      <c r="K36" s="634">
        <f>E36*J36</f>
        <v>0</v>
      </c>
      <c r="L36" s="634">
        <f t="shared" si="3"/>
        <v>0</v>
      </c>
    </row>
    <row r="37" spans="1:25" s="54" customFormat="1" ht="28.15" customHeight="1">
      <c r="A37" s="260"/>
      <c r="B37" s="720" t="s">
        <v>419</v>
      </c>
      <c r="C37" s="721" t="s">
        <v>104</v>
      </c>
      <c r="D37" s="695"/>
      <c r="E37" s="956">
        <v>1</v>
      </c>
      <c r="F37" s="634"/>
      <c r="G37" s="707">
        <f>F37*E37</f>
        <v>0</v>
      </c>
      <c r="H37" s="704"/>
      <c r="I37" s="704"/>
      <c r="J37" s="705"/>
      <c r="K37" s="706"/>
      <c r="L37" s="707">
        <f>K37+I37+G37</f>
        <v>0</v>
      </c>
    </row>
    <row r="38" spans="1:25" s="315" customFormat="1" ht="20.100000000000001" customHeight="1">
      <c r="A38" s="709"/>
      <c r="B38" s="719" t="s">
        <v>54</v>
      </c>
      <c r="C38" s="695" t="s">
        <v>2</v>
      </c>
      <c r="D38" s="710">
        <v>0.16</v>
      </c>
      <c r="E38" s="711">
        <f>D38*E34</f>
        <v>0.16</v>
      </c>
      <c r="F38" s="707"/>
      <c r="G38" s="707">
        <f>F38*E38</f>
        <v>0</v>
      </c>
      <c r="H38" s="704"/>
      <c r="I38" s="704"/>
      <c r="J38" s="705"/>
      <c r="K38" s="706"/>
      <c r="L38" s="707">
        <f>K38+I38+G38</f>
        <v>0</v>
      </c>
    </row>
    <row r="39" spans="1:25" s="315" customFormat="1" ht="27.6" customHeight="1">
      <c r="A39" s="722">
        <v>6</v>
      </c>
      <c r="B39" s="723" t="s">
        <v>268</v>
      </c>
      <c r="C39" s="713" t="s">
        <v>65</v>
      </c>
      <c r="D39" s="724"/>
      <c r="E39" s="725">
        <v>2</v>
      </c>
      <c r="F39" s="693"/>
      <c r="G39" s="694"/>
      <c r="H39" s="726"/>
      <c r="I39" s="726"/>
      <c r="J39" s="727"/>
      <c r="K39" s="728"/>
      <c r="L39" s="693"/>
    </row>
    <row r="40" spans="1:25" s="54" customFormat="1" ht="20.100000000000001" customHeight="1">
      <c r="A40" s="649"/>
      <c r="B40" s="718" t="s">
        <v>45</v>
      </c>
      <c r="C40" s="638" t="s">
        <v>46</v>
      </c>
      <c r="D40" s="695">
        <v>1.69</v>
      </c>
      <c r="E40" s="634">
        <f>D40*E39</f>
        <v>3.38</v>
      </c>
      <c r="F40" s="634"/>
      <c r="G40" s="696"/>
      <c r="H40" s="634"/>
      <c r="I40" s="634">
        <f>H40*E40</f>
        <v>0</v>
      </c>
      <c r="J40" s="634"/>
      <c r="K40" s="696"/>
      <c r="L40" s="634">
        <f>K40+I40+G40</f>
        <v>0</v>
      </c>
    </row>
    <row r="41" spans="1:25" s="54" customFormat="1" ht="20.100000000000001" customHeight="1">
      <c r="A41" s="649"/>
      <c r="B41" s="719" t="s">
        <v>53</v>
      </c>
      <c r="C41" s="695" t="s">
        <v>2</v>
      </c>
      <c r="D41" s="695">
        <v>0.05</v>
      </c>
      <c r="E41" s="634">
        <f>D41*E39</f>
        <v>0.1</v>
      </c>
      <c r="F41" s="634"/>
      <c r="G41" s="696"/>
      <c r="H41" s="634"/>
      <c r="I41" s="696"/>
      <c r="J41" s="634"/>
      <c r="K41" s="634">
        <f>E41*J41</f>
        <v>0</v>
      </c>
      <c r="L41" s="634">
        <f>K41+I41+G41</f>
        <v>0</v>
      </c>
    </row>
    <row r="42" spans="1:25" s="315" customFormat="1" ht="25.15" customHeight="1">
      <c r="A42" s="261"/>
      <c r="B42" s="729" t="s">
        <v>270</v>
      </c>
      <c r="C42" s="695" t="s">
        <v>65</v>
      </c>
      <c r="D42" s="710"/>
      <c r="E42" s="711">
        <v>2</v>
      </c>
      <c r="F42" s="707"/>
      <c r="G42" s="707">
        <f>F42*E42</f>
        <v>0</v>
      </c>
      <c r="H42" s="704"/>
      <c r="I42" s="704"/>
      <c r="J42" s="705"/>
      <c r="K42" s="706"/>
      <c r="L42" s="707">
        <f>K42+I42+G42</f>
        <v>0</v>
      </c>
    </row>
    <row r="43" spans="1:25" s="315" customFormat="1" ht="20.100000000000001" customHeight="1">
      <c r="A43" s="709"/>
      <c r="B43" s="719" t="s">
        <v>54</v>
      </c>
      <c r="C43" s="695" t="s">
        <v>2</v>
      </c>
      <c r="D43" s="710">
        <v>0.18</v>
      </c>
      <c r="E43" s="711">
        <f>D43*E39</f>
        <v>0.36</v>
      </c>
      <c r="F43" s="707"/>
      <c r="G43" s="707">
        <f>F43*E43</f>
        <v>0</v>
      </c>
      <c r="H43" s="704"/>
      <c r="I43" s="704"/>
      <c r="J43" s="705"/>
      <c r="K43" s="706"/>
      <c r="L43" s="707">
        <f>K43+I43+G43</f>
        <v>0</v>
      </c>
    </row>
    <row r="44" spans="1:25" ht="30" customHeight="1">
      <c r="A44" s="363">
        <v>7</v>
      </c>
      <c r="B44" s="364" t="s">
        <v>269</v>
      </c>
      <c r="C44" s="365" t="s">
        <v>69</v>
      </c>
      <c r="D44" s="366"/>
      <c r="E44" s="367">
        <v>10</v>
      </c>
      <c r="F44" s="367"/>
      <c r="G44" s="368"/>
      <c r="H44" s="369"/>
      <c r="I44" s="368"/>
      <c r="J44" s="367"/>
      <c r="K44" s="368"/>
      <c r="L44" s="36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391" customFormat="1" ht="15.75">
      <c r="A45" s="201"/>
      <c r="B45" s="152" t="s">
        <v>45</v>
      </c>
      <c r="C45" s="153" t="s">
        <v>46</v>
      </c>
      <c r="D45" s="230">
        <v>1.17</v>
      </c>
      <c r="E45" s="202">
        <f>D45*E44</f>
        <v>11.7</v>
      </c>
      <c r="F45" s="202"/>
      <c r="G45" s="203"/>
      <c r="H45" s="268"/>
      <c r="I45" s="202">
        <f>H45*E45</f>
        <v>0</v>
      </c>
      <c r="J45" s="202"/>
      <c r="K45" s="203"/>
      <c r="L45" s="202">
        <f>K45+I45+G45</f>
        <v>0</v>
      </c>
    </row>
    <row r="46" spans="1:25" s="391" customFormat="1">
      <c r="A46" s="547"/>
      <c r="B46" s="236" t="s">
        <v>53</v>
      </c>
      <c r="C46" s="151" t="s">
        <v>2</v>
      </c>
      <c r="D46" s="237">
        <v>1.72E-2</v>
      </c>
      <c r="E46" s="238">
        <f>D46*E44</f>
        <v>0.17199999999999999</v>
      </c>
      <c r="F46" s="547"/>
      <c r="G46" s="547"/>
      <c r="H46" s="548"/>
      <c r="I46" s="547"/>
      <c r="J46" s="547"/>
      <c r="K46" s="73">
        <f>J46*E46</f>
        <v>0</v>
      </c>
      <c r="L46" s="73">
        <f>K46+I46+G46</f>
        <v>0</v>
      </c>
    </row>
    <row r="47" spans="1:25" s="391" customFormat="1">
      <c r="A47" s="237"/>
      <c r="B47" s="233" t="s">
        <v>271</v>
      </c>
      <c r="C47" s="151" t="s">
        <v>69</v>
      </c>
      <c r="D47" s="209">
        <v>1</v>
      </c>
      <c r="E47" s="238">
        <f>D47*E44</f>
        <v>10</v>
      </c>
      <c r="F47" s="238"/>
      <c r="G47" s="235">
        <f>F47*E47</f>
        <v>0</v>
      </c>
      <c r="H47" s="281"/>
      <c r="I47" s="237"/>
      <c r="J47" s="237"/>
      <c r="K47" s="237"/>
      <c r="L47" s="73">
        <f>K47+I47+G47</f>
        <v>0</v>
      </c>
    </row>
    <row r="48" spans="1:25" s="391" customFormat="1" ht="15.75">
      <c r="A48" s="200"/>
      <c r="B48" s="101" t="s">
        <v>153</v>
      </c>
      <c r="C48" s="153" t="s">
        <v>65</v>
      </c>
      <c r="D48" s="230"/>
      <c r="E48" s="231">
        <v>12</v>
      </c>
      <c r="F48" s="127"/>
      <c r="G48" s="235">
        <f>F48*E48</f>
        <v>0</v>
      </c>
      <c r="H48" s="281"/>
      <c r="I48" s="237"/>
      <c r="J48" s="237"/>
      <c r="K48" s="237"/>
      <c r="L48" s="73">
        <f>K48+I48+G48</f>
        <v>0</v>
      </c>
    </row>
    <row r="49" spans="1:25" ht="15.75">
      <c r="A49" s="200"/>
      <c r="B49" s="152" t="s">
        <v>54</v>
      </c>
      <c r="C49" s="153" t="s">
        <v>2</v>
      </c>
      <c r="D49" s="230">
        <v>3.9300000000000002E-2</v>
      </c>
      <c r="E49" s="231">
        <f>D49*E44</f>
        <v>0.39300000000000002</v>
      </c>
      <c r="F49" s="234"/>
      <c r="G49" s="202">
        <f>F49*E49</f>
        <v>0</v>
      </c>
      <c r="H49" s="268"/>
      <c r="I49" s="203"/>
      <c r="J49" s="202"/>
      <c r="K49" s="203"/>
      <c r="L49" s="203">
        <f>K49+I49+G49</f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433" customFormat="1">
      <c r="A50" s="643"/>
      <c r="B50" s="644"/>
      <c r="C50" s="638"/>
      <c r="D50" s="645"/>
      <c r="E50" s="646"/>
      <c r="F50" s="646"/>
      <c r="G50" s="639"/>
      <c r="H50" s="646"/>
      <c r="I50" s="642"/>
      <c r="J50" s="646"/>
      <c r="K50" s="636"/>
      <c r="L50" s="641"/>
    </row>
    <row r="51" spans="1:25" s="391" customFormat="1">
      <c r="A51" s="385"/>
      <c r="B51" s="385" t="s">
        <v>127</v>
      </c>
      <c r="C51" s="385"/>
      <c r="D51" s="386"/>
      <c r="E51" s="385"/>
      <c r="F51" s="385"/>
      <c r="G51" s="387">
        <f>SUM(G11:G50)</f>
        <v>0</v>
      </c>
      <c r="H51" s="388"/>
      <c r="I51" s="387">
        <f>SUM(I11:I50)</f>
        <v>0</v>
      </c>
      <c r="J51" s="387"/>
      <c r="K51" s="387">
        <f>SUM(K11:K50)</f>
        <v>0</v>
      </c>
      <c r="L51" s="387">
        <f>SUM(L11:L50)</f>
        <v>0</v>
      </c>
    </row>
    <row r="52" spans="1:25" s="197" customFormat="1" ht="16.5" customHeight="1">
      <c r="A52" s="750"/>
      <c r="B52" s="763" t="s">
        <v>356</v>
      </c>
      <c r="C52" s="899">
        <v>0.05</v>
      </c>
      <c r="D52" s="752"/>
      <c r="E52" s="753"/>
      <c r="F52" s="753"/>
      <c r="G52" s="756"/>
      <c r="H52" s="753"/>
      <c r="I52" s="756"/>
      <c r="J52" s="755"/>
      <c r="K52" s="756"/>
      <c r="L52" s="756">
        <f>G51*C52</f>
        <v>0</v>
      </c>
      <c r="M52" s="155"/>
      <c r="N52" s="128"/>
      <c r="T52" s="298"/>
    </row>
    <row r="53" spans="1:25" s="197" customFormat="1" ht="16.5" customHeight="1">
      <c r="A53" s="750"/>
      <c r="B53" s="129" t="s">
        <v>21</v>
      </c>
      <c r="C53" s="742"/>
      <c r="D53" s="752"/>
      <c r="E53" s="753"/>
      <c r="F53" s="753"/>
      <c r="G53" s="756"/>
      <c r="H53" s="753"/>
      <c r="I53" s="756"/>
      <c r="J53" s="755"/>
      <c r="K53" s="756"/>
      <c r="L53" s="900">
        <f>L51+L52</f>
        <v>0</v>
      </c>
      <c r="M53" s="155"/>
      <c r="N53" s="128"/>
      <c r="T53" s="298"/>
    </row>
    <row r="54" spans="1:25" s="391" customFormat="1">
      <c r="A54" s="515"/>
      <c r="B54" s="547" t="s">
        <v>94</v>
      </c>
      <c r="C54" s="215">
        <v>0.1</v>
      </c>
      <c r="D54" s="547"/>
      <c r="E54" s="215"/>
      <c r="F54" s="547"/>
      <c r="G54" s="216"/>
      <c r="H54" s="548"/>
      <c r="I54" s="216"/>
      <c r="J54" s="216"/>
      <c r="K54" s="216"/>
      <c r="L54" s="216">
        <f>(L53)*C54</f>
        <v>0</v>
      </c>
    </row>
    <row r="55" spans="1:25" s="391" customFormat="1">
      <c r="A55" s="515"/>
      <c r="B55" s="547" t="s">
        <v>21</v>
      </c>
      <c r="C55" s="515"/>
      <c r="D55" s="547"/>
      <c r="E55" s="515"/>
      <c r="F55" s="515"/>
      <c r="G55" s="217"/>
      <c r="H55" s="269"/>
      <c r="I55" s="217"/>
      <c r="J55" s="217"/>
      <c r="K55" s="217"/>
      <c r="L55" s="217">
        <f>SUM(L53:L54)</f>
        <v>0</v>
      </c>
    </row>
    <row r="56" spans="1:25" s="391" customFormat="1">
      <c r="A56" s="515"/>
      <c r="B56" s="547" t="s">
        <v>97</v>
      </c>
      <c r="C56" s="215">
        <v>0.08</v>
      </c>
      <c r="D56" s="547"/>
      <c r="E56" s="215"/>
      <c r="F56" s="547"/>
      <c r="G56" s="216"/>
      <c r="H56" s="548"/>
      <c r="I56" s="216"/>
      <c r="J56" s="216"/>
      <c r="K56" s="216"/>
      <c r="L56" s="216">
        <f>(L55)*C56</f>
        <v>0</v>
      </c>
    </row>
    <row r="57" spans="1:25" s="391" customFormat="1">
      <c r="A57" s="515"/>
      <c r="B57" s="547" t="s">
        <v>21</v>
      </c>
      <c r="C57" s="515"/>
      <c r="D57" s="547"/>
      <c r="E57" s="515"/>
      <c r="F57" s="515"/>
      <c r="G57" s="217"/>
      <c r="H57" s="269"/>
      <c r="I57" s="217"/>
      <c r="J57" s="217"/>
      <c r="K57" s="217"/>
      <c r="L57" s="217">
        <f>SUM(L55:L56)</f>
        <v>0</v>
      </c>
    </row>
    <row r="58" spans="1:25" s="391" customFormat="1">
      <c r="A58" s="48"/>
      <c r="B58" s="276"/>
      <c r="C58" s="50"/>
      <c r="D58" s="276"/>
      <c r="E58" s="276"/>
      <c r="F58" s="276"/>
      <c r="G58" s="276"/>
      <c r="H58" s="288"/>
      <c r="I58" s="276"/>
      <c r="J58" s="228"/>
      <c r="K58" s="276"/>
      <c r="L58" s="276"/>
    </row>
    <row r="59" spans="1:25" s="391" customFormat="1">
      <c r="A59" s="48"/>
      <c r="B59" s="276"/>
      <c r="C59" s="50"/>
      <c r="D59" s="276"/>
      <c r="E59" s="276"/>
      <c r="F59" s="276"/>
      <c r="G59" s="276"/>
      <c r="H59" s="288"/>
      <c r="I59" s="276"/>
      <c r="J59" s="228"/>
      <c r="K59" s="276"/>
      <c r="L59" s="276"/>
    </row>
    <row r="60" spans="1:25" s="391" customFormat="1">
      <c r="A60" s="48"/>
      <c r="B60" s="276"/>
      <c r="C60" s="50"/>
      <c r="D60" s="276"/>
      <c r="E60" s="276"/>
      <c r="F60" s="276"/>
      <c r="G60" s="276"/>
      <c r="H60" s="288"/>
      <c r="I60" s="276"/>
      <c r="J60" s="228"/>
      <c r="K60" s="276"/>
      <c r="L60" s="276"/>
    </row>
    <row r="61" spans="1:25" s="391" customFormat="1">
      <c r="A61" s="48"/>
      <c r="B61" s="276"/>
      <c r="C61" s="50"/>
      <c r="D61" s="276"/>
      <c r="E61" s="276"/>
      <c r="F61" s="276"/>
      <c r="G61" s="276"/>
      <c r="H61" s="288"/>
      <c r="I61" s="276"/>
      <c r="J61" s="228"/>
      <c r="K61" s="276"/>
      <c r="L61" s="276"/>
    </row>
    <row r="62" spans="1:25" s="391" customFormat="1">
      <c r="A62" s="48"/>
      <c r="B62" s="276"/>
      <c r="C62" s="50"/>
      <c r="D62" s="276"/>
      <c r="E62" s="276"/>
      <c r="F62" s="276"/>
      <c r="G62" s="276"/>
      <c r="H62" s="288"/>
      <c r="I62" s="276"/>
      <c r="J62" s="228"/>
      <c r="K62" s="276"/>
      <c r="L62" s="276"/>
    </row>
    <row r="63" spans="1:25" s="391" customFormat="1">
      <c r="A63" s="48"/>
      <c r="B63" s="276"/>
      <c r="C63" s="50"/>
      <c r="D63" s="276"/>
      <c r="E63" s="276"/>
      <c r="F63" s="276"/>
      <c r="G63" s="276"/>
      <c r="H63" s="288"/>
      <c r="I63" s="276"/>
      <c r="J63" s="228"/>
      <c r="K63" s="276"/>
      <c r="L63" s="276"/>
    </row>
    <row r="64" spans="1:25" s="391" customFormat="1">
      <c r="A64" s="48"/>
      <c r="B64" s="276"/>
      <c r="C64" s="50"/>
      <c r="D64" s="276"/>
      <c r="E64" s="276"/>
      <c r="F64" s="276"/>
      <c r="G64" s="276"/>
      <c r="H64" s="288"/>
      <c r="I64" s="276"/>
      <c r="J64" s="228"/>
      <c r="K64" s="276"/>
      <c r="L64" s="276"/>
    </row>
    <row r="65" spans="1:12" s="391" customFormat="1">
      <c r="A65" s="48"/>
      <c r="B65" s="276"/>
      <c r="C65" s="50"/>
      <c r="D65" s="276"/>
      <c r="E65" s="276"/>
      <c r="F65" s="276"/>
      <c r="G65" s="276"/>
      <c r="H65" s="288"/>
      <c r="I65" s="276"/>
      <c r="J65" s="228"/>
      <c r="K65" s="276"/>
      <c r="L65" s="276"/>
    </row>
    <row r="66" spans="1:12" s="391" customFormat="1">
      <c r="A66" s="48"/>
      <c r="B66" s="276"/>
      <c r="C66" s="50"/>
      <c r="D66" s="276"/>
      <c r="E66" s="276"/>
      <c r="F66" s="276"/>
      <c r="G66" s="276"/>
      <c r="H66" s="288"/>
      <c r="I66" s="276"/>
      <c r="J66" s="228"/>
      <c r="K66" s="276"/>
      <c r="L66" s="276"/>
    </row>
    <row r="67" spans="1:12" s="391" customFormat="1">
      <c r="A67" s="48"/>
      <c r="B67" s="276"/>
      <c r="C67" s="50"/>
      <c r="D67" s="276"/>
      <c r="E67" s="276"/>
      <c r="F67" s="276"/>
      <c r="G67" s="276"/>
      <c r="H67" s="288"/>
      <c r="I67" s="276"/>
      <c r="J67" s="228"/>
      <c r="K67" s="276"/>
      <c r="L67" s="276"/>
    </row>
    <row r="68" spans="1:12" s="391" customFormat="1">
      <c r="A68" s="48"/>
      <c r="B68" s="276"/>
      <c r="C68" s="50"/>
      <c r="D68" s="276"/>
      <c r="E68" s="276"/>
      <c r="F68" s="276"/>
      <c r="G68" s="276"/>
      <c r="H68" s="288"/>
      <c r="I68" s="276"/>
      <c r="J68" s="228"/>
      <c r="K68" s="276"/>
      <c r="L68" s="276"/>
    </row>
    <row r="69" spans="1:12" s="391" customFormat="1">
      <c r="A69" s="48"/>
      <c r="B69" s="276"/>
      <c r="C69" s="50"/>
      <c r="D69" s="276"/>
      <c r="E69" s="276"/>
      <c r="F69" s="276"/>
      <c r="G69" s="276"/>
      <c r="H69" s="288"/>
      <c r="I69" s="276"/>
      <c r="J69" s="228"/>
      <c r="K69" s="276"/>
      <c r="L69" s="276"/>
    </row>
    <row r="70" spans="1:12" s="391" customFormat="1">
      <c r="A70" s="48"/>
      <c r="B70" s="276"/>
      <c r="C70" s="50"/>
      <c r="D70" s="276"/>
      <c r="E70" s="276"/>
      <c r="F70" s="276"/>
      <c r="G70" s="276"/>
      <c r="H70" s="288"/>
      <c r="I70" s="276"/>
      <c r="J70" s="228"/>
      <c r="K70" s="276"/>
      <c r="L70" s="276"/>
    </row>
    <row r="71" spans="1:12" s="391" customFormat="1">
      <c r="A71" s="48"/>
      <c r="B71" s="276"/>
      <c r="C71" s="50"/>
      <c r="D71" s="276"/>
      <c r="E71" s="276"/>
      <c r="F71" s="276"/>
      <c r="G71" s="276"/>
      <c r="H71" s="288"/>
      <c r="I71" s="276"/>
      <c r="J71" s="228"/>
      <c r="K71" s="276"/>
      <c r="L71" s="276"/>
    </row>
    <row r="72" spans="1:12" s="391" customFormat="1" ht="32.450000000000003" customHeight="1">
      <c r="A72" s="48"/>
      <c r="B72" s="276"/>
      <c r="C72" s="50"/>
      <c r="D72" s="276"/>
      <c r="E72" s="276"/>
      <c r="F72" s="276"/>
      <c r="G72" s="276"/>
      <c r="H72" s="288"/>
      <c r="I72" s="276"/>
      <c r="J72" s="228"/>
      <c r="K72" s="276"/>
      <c r="L72" s="276"/>
    </row>
    <row r="73" spans="1:12" s="391" customFormat="1">
      <c r="A73" s="48"/>
      <c r="B73" s="276"/>
      <c r="C73" s="50"/>
      <c r="D73" s="276"/>
      <c r="E73" s="276"/>
      <c r="F73" s="276"/>
      <c r="G73" s="276"/>
      <c r="H73" s="288"/>
      <c r="I73" s="276"/>
      <c r="J73" s="228"/>
      <c r="K73" s="276"/>
      <c r="L73" s="276"/>
    </row>
    <row r="74" spans="1:12" s="391" customFormat="1">
      <c r="A74" s="48"/>
      <c r="B74" s="276"/>
      <c r="C74" s="50"/>
      <c r="D74" s="276"/>
      <c r="E74" s="276"/>
      <c r="F74" s="276"/>
      <c r="G74" s="276"/>
      <c r="H74" s="288"/>
      <c r="I74" s="276"/>
      <c r="J74" s="228"/>
      <c r="K74" s="276"/>
      <c r="L74" s="276"/>
    </row>
    <row r="75" spans="1:12" s="391" customFormat="1">
      <c r="A75" s="48"/>
      <c r="B75" s="276"/>
      <c r="C75" s="50"/>
      <c r="D75" s="276"/>
      <c r="E75" s="276"/>
      <c r="F75" s="276"/>
      <c r="G75" s="276"/>
      <c r="H75" s="288"/>
      <c r="I75" s="276"/>
      <c r="J75" s="228"/>
      <c r="K75" s="276"/>
      <c r="L75" s="276"/>
    </row>
    <row r="76" spans="1:12" s="391" customFormat="1">
      <c r="A76" s="48"/>
      <c r="B76" s="276"/>
      <c r="C76" s="50"/>
      <c r="D76" s="276"/>
      <c r="E76" s="276"/>
      <c r="F76" s="276"/>
      <c r="G76" s="276"/>
      <c r="H76" s="288"/>
      <c r="I76" s="276"/>
      <c r="J76" s="228"/>
      <c r="K76" s="276"/>
      <c r="L76" s="276"/>
    </row>
    <row r="77" spans="1:12" s="391" customFormat="1">
      <c r="A77" s="48"/>
      <c r="B77" s="276"/>
      <c r="C77" s="50"/>
      <c r="D77" s="276"/>
      <c r="E77" s="276"/>
      <c r="F77" s="276"/>
      <c r="G77" s="276"/>
      <c r="H77" s="288"/>
      <c r="I77" s="276"/>
      <c r="J77" s="228"/>
      <c r="K77" s="276"/>
      <c r="L77" s="276"/>
    </row>
    <row r="78" spans="1:12" s="391" customFormat="1">
      <c r="A78" s="48"/>
      <c r="B78" s="276"/>
      <c r="C78" s="50"/>
      <c r="D78" s="276"/>
      <c r="E78" s="276"/>
      <c r="F78" s="276"/>
      <c r="G78" s="276"/>
      <c r="H78" s="288"/>
      <c r="I78" s="276"/>
      <c r="J78" s="228"/>
      <c r="K78" s="276"/>
      <c r="L78" s="276"/>
    </row>
    <row r="79" spans="1:12" s="391" customFormat="1">
      <c r="A79" s="48"/>
      <c r="B79" s="276"/>
      <c r="C79" s="50"/>
      <c r="D79" s="276"/>
      <c r="E79" s="276"/>
      <c r="F79" s="276"/>
      <c r="G79" s="276"/>
      <c r="H79" s="288"/>
      <c r="I79" s="276"/>
      <c r="J79" s="228"/>
      <c r="K79" s="276"/>
      <c r="L79" s="276"/>
    </row>
    <row r="80" spans="1:12" s="391" customFormat="1">
      <c r="A80" s="48"/>
      <c r="B80" s="276"/>
      <c r="C80" s="50"/>
      <c r="D80" s="276"/>
      <c r="E80" s="276"/>
      <c r="F80" s="276"/>
      <c r="G80" s="276"/>
      <c r="H80" s="288"/>
      <c r="I80" s="276"/>
      <c r="J80" s="228"/>
      <c r="K80" s="276"/>
      <c r="L80" s="276"/>
    </row>
    <row r="81" spans="1:25" s="391" customFormat="1">
      <c r="A81" s="48"/>
      <c r="B81" s="276"/>
      <c r="C81" s="50"/>
      <c r="D81" s="276"/>
      <c r="E81" s="276"/>
      <c r="F81" s="276"/>
      <c r="G81" s="276"/>
      <c r="H81" s="288"/>
      <c r="I81" s="276"/>
      <c r="J81" s="228"/>
      <c r="K81" s="276"/>
      <c r="L81" s="276"/>
    </row>
    <row r="82" spans="1:25" s="391" customFormat="1">
      <c r="A82" s="48"/>
      <c r="B82" s="276"/>
      <c r="C82" s="50"/>
      <c r="D82" s="276"/>
      <c r="E82" s="276"/>
      <c r="F82" s="276"/>
      <c r="G82" s="276"/>
      <c r="H82" s="288"/>
      <c r="I82" s="276"/>
      <c r="J82" s="228"/>
      <c r="K82" s="276"/>
      <c r="L82" s="276"/>
    </row>
    <row r="83" spans="1:25" s="391" customFormat="1">
      <c r="A83" s="48"/>
      <c r="B83" s="276"/>
      <c r="C83" s="50"/>
      <c r="D83" s="276"/>
      <c r="E83" s="276"/>
      <c r="F83" s="276"/>
      <c r="G83" s="276"/>
      <c r="H83" s="288"/>
      <c r="I83" s="276"/>
      <c r="J83" s="228"/>
      <c r="K83" s="276"/>
      <c r="L83" s="276"/>
    </row>
    <row r="84" spans="1:25" s="391" customFormat="1">
      <c r="A84" s="48"/>
      <c r="B84" s="276"/>
      <c r="C84" s="50"/>
      <c r="D84" s="276"/>
      <c r="E84" s="276"/>
      <c r="F84" s="276"/>
      <c r="G84" s="276"/>
      <c r="H84" s="288"/>
      <c r="I84" s="276"/>
      <c r="J84" s="228"/>
      <c r="K84" s="276"/>
      <c r="L84" s="276"/>
    </row>
    <row r="85" spans="1:25" s="391" customFormat="1">
      <c r="A85" s="48"/>
      <c r="B85" s="276"/>
      <c r="C85" s="50"/>
      <c r="D85" s="276"/>
      <c r="E85" s="276"/>
      <c r="F85" s="276"/>
      <c r="G85" s="276"/>
      <c r="H85" s="288"/>
      <c r="I85" s="276"/>
      <c r="J85" s="228"/>
      <c r="K85" s="276"/>
      <c r="L85" s="276"/>
    </row>
    <row r="86" spans="1:25" s="391" customFormat="1">
      <c r="A86" s="48"/>
      <c r="B86" s="276"/>
      <c r="C86" s="50"/>
      <c r="D86" s="276"/>
      <c r="E86" s="276"/>
      <c r="F86" s="276"/>
      <c r="G86" s="276"/>
      <c r="H86" s="288"/>
      <c r="I86" s="276"/>
      <c r="J86" s="228"/>
      <c r="K86" s="276"/>
      <c r="L86" s="276"/>
    </row>
    <row r="87" spans="1:25" s="391" customFormat="1">
      <c r="A87" s="48"/>
      <c r="B87" s="276"/>
      <c r="C87" s="50"/>
      <c r="D87" s="276"/>
      <c r="E87" s="276"/>
      <c r="F87" s="276"/>
      <c r="G87" s="276"/>
      <c r="H87" s="288"/>
      <c r="I87" s="276"/>
      <c r="J87" s="228"/>
      <c r="K87" s="276"/>
      <c r="L87" s="276"/>
    </row>
    <row r="88" spans="1:25" s="391" customFormat="1">
      <c r="A88" s="48"/>
      <c r="B88" s="276"/>
      <c r="C88" s="50"/>
      <c r="D88" s="276"/>
      <c r="E88" s="276"/>
      <c r="F88" s="276"/>
      <c r="G88" s="276"/>
      <c r="H88" s="288"/>
      <c r="I88" s="276"/>
      <c r="J88" s="228"/>
      <c r="K88" s="276"/>
      <c r="L88" s="276"/>
    </row>
    <row r="89" spans="1:25" s="391" customFormat="1">
      <c r="A89" s="48"/>
      <c r="B89" s="276"/>
      <c r="C89" s="50"/>
      <c r="D89" s="276"/>
      <c r="E89" s="276"/>
      <c r="F89" s="276"/>
      <c r="G89" s="276"/>
      <c r="H89" s="288"/>
      <c r="I89" s="276"/>
      <c r="J89" s="228"/>
      <c r="K89" s="276"/>
      <c r="L89" s="276"/>
    </row>
    <row r="90" spans="1:25" s="391" customFormat="1">
      <c r="A90" s="48"/>
      <c r="B90" s="276"/>
      <c r="C90" s="50"/>
      <c r="D90" s="276"/>
      <c r="E90" s="276"/>
      <c r="F90" s="276"/>
      <c r="G90" s="276"/>
      <c r="H90" s="288"/>
      <c r="I90" s="276"/>
      <c r="J90" s="228"/>
      <c r="K90" s="276"/>
      <c r="L90" s="276"/>
    </row>
    <row r="91" spans="1:25" s="391" customFormat="1">
      <c r="A91" s="48"/>
      <c r="B91" s="276"/>
      <c r="C91" s="50"/>
      <c r="D91" s="276"/>
      <c r="E91" s="276"/>
      <c r="F91" s="276"/>
      <c r="G91" s="276"/>
      <c r="H91" s="288"/>
      <c r="I91" s="276"/>
      <c r="J91" s="228"/>
      <c r="K91" s="276"/>
      <c r="L91" s="276"/>
    </row>
    <row r="92" spans="1:25" s="391" customFormat="1">
      <c r="A92" s="48"/>
      <c r="B92" s="276"/>
      <c r="C92" s="50"/>
      <c r="D92" s="276"/>
      <c r="E92" s="276"/>
      <c r="F92" s="276"/>
      <c r="G92" s="276"/>
      <c r="H92" s="288"/>
      <c r="I92" s="276"/>
      <c r="J92" s="228"/>
      <c r="K92" s="276"/>
      <c r="L92" s="276"/>
    </row>
    <row r="93" spans="1:25" s="391" customFormat="1">
      <c r="A93" s="48"/>
      <c r="B93" s="276"/>
      <c r="C93" s="50"/>
      <c r="D93" s="276"/>
      <c r="E93" s="276"/>
      <c r="F93" s="276"/>
      <c r="G93" s="276"/>
      <c r="H93" s="288"/>
      <c r="I93" s="276"/>
      <c r="J93" s="228"/>
      <c r="K93" s="276"/>
      <c r="L93" s="276"/>
    </row>
    <row r="94" spans="1:25" s="20" customFormat="1">
      <c r="A94" s="44"/>
      <c r="B94" s="63"/>
      <c r="D94" s="63"/>
      <c r="E94" s="63"/>
      <c r="F94" s="63"/>
      <c r="G94" s="63"/>
      <c r="H94" s="289"/>
      <c r="I94" s="63"/>
      <c r="J94" s="229"/>
      <c r="K94" s="63"/>
      <c r="L94" s="63"/>
      <c r="M94" s="391"/>
      <c r="N94" s="391"/>
      <c r="O94" s="391"/>
      <c r="P94" s="391"/>
      <c r="Q94" s="391"/>
      <c r="R94" s="391"/>
      <c r="S94" s="391"/>
      <c r="T94" s="391"/>
      <c r="U94" s="391"/>
      <c r="V94" s="391"/>
      <c r="W94" s="391"/>
      <c r="X94" s="391"/>
      <c r="Y94" s="391"/>
    </row>
    <row r="95" spans="1:25" s="20" customFormat="1">
      <c r="A95" s="44"/>
      <c r="B95" s="63"/>
      <c r="D95" s="63"/>
      <c r="E95" s="63"/>
      <c r="F95" s="63"/>
      <c r="G95" s="63"/>
      <c r="H95" s="289"/>
      <c r="I95" s="63"/>
      <c r="J95" s="229"/>
      <c r="K95" s="63"/>
      <c r="L95" s="63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</row>
    <row r="96" spans="1:25" s="20" customFormat="1">
      <c r="A96" s="44"/>
      <c r="B96" s="63"/>
      <c r="D96" s="63"/>
      <c r="E96" s="63"/>
      <c r="F96" s="63"/>
      <c r="G96" s="63"/>
      <c r="H96" s="289"/>
      <c r="I96" s="63"/>
      <c r="J96" s="229"/>
      <c r="K96" s="63"/>
      <c r="L96" s="63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</row>
    <row r="97" spans="1:25" s="20" customFormat="1">
      <c r="A97" s="44"/>
      <c r="B97" s="63"/>
      <c r="D97" s="63"/>
      <c r="E97" s="63"/>
      <c r="F97" s="63"/>
      <c r="G97" s="63"/>
      <c r="H97" s="289"/>
      <c r="I97" s="63"/>
      <c r="J97" s="229"/>
      <c r="K97" s="63"/>
      <c r="L97" s="63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</row>
    <row r="98" spans="1:25" s="20" customFormat="1">
      <c r="A98" s="44"/>
      <c r="B98" s="63"/>
      <c r="D98" s="63"/>
      <c r="E98" s="63"/>
      <c r="F98" s="63"/>
      <c r="G98" s="63"/>
      <c r="H98" s="289"/>
      <c r="I98" s="63"/>
      <c r="J98" s="229"/>
      <c r="K98" s="63"/>
      <c r="L98" s="63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  <c r="X98" s="391"/>
      <c r="Y98" s="391"/>
    </row>
    <row r="99" spans="1:25" s="20" customFormat="1">
      <c r="A99" s="44"/>
      <c r="B99" s="63"/>
      <c r="D99" s="63"/>
      <c r="E99" s="63"/>
      <c r="F99" s="63"/>
      <c r="G99" s="63"/>
      <c r="H99" s="289"/>
      <c r="I99" s="63"/>
      <c r="J99" s="229"/>
      <c r="K99" s="63"/>
      <c r="L99" s="63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1"/>
      <c r="Y99" s="391"/>
    </row>
    <row r="100" spans="1:25" s="20" customFormat="1">
      <c r="A100" s="44"/>
      <c r="B100" s="63"/>
      <c r="D100" s="63"/>
      <c r="E100" s="63"/>
      <c r="F100" s="63"/>
      <c r="G100" s="63"/>
      <c r="H100" s="289"/>
      <c r="I100" s="63"/>
      <c r="J100" s="229"/>
      <c r="K100" s="63"/>
      <c r="L100" s="63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/>
      <c r="W100" s="391"/>
      <c r="X100" s="391"/>
      <c r="Y100" s="391"/>
    </row>
    <row r="101" spans="1:25" s="20" customFormat="1">
      <c r="A101" s="44"/>
      <c r="B101" s="63"/>
      <c r="D101" s="63"/>
      <c r="E101" s="63"/>
      <c r="F101" s="63"/>
      <c r="G101" s="63"/>
      <c r="H101" s="289"/>
      <c r="I101" s="63"/>
      <c r="J101" s="229"/>
      <c r="K101" s="63"/>
      <c r="L101" s="63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  <c r="X101" s="391"/>
      <c r="Y101" s="391"/>
    </row>
    <row r="102" spans="1:25" s="20" customFormat="1">
      <c r="A102" s="44"/>
      <c r="B102" s="63"/>
      <c r="D102" s="63"/>
      <c r="E102" s="63"/>
      <c r="F102" s="63"/>
      <c r="G102" s="63"/>
      <c r="H102" s="289"/>
      <c r="I102" s="63"/>
      <c r="J102" s="229"/>
      <c r="K102" s="63"/>
      <c r="L102" s="63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</row>
    <row r="103" spans="1:25" s="20" customFormat="1">
      <c r="A103" s="44"/>
      <c r="B103" s="63"/>
      <c r="D103" s="63"/>
      <c r="E103" s="63"/>
      <c r="F103" s="63"/>
      <c r="G103" s="63"/>
      <c r="H103" s="289"/>
      <c r="I103" s="63"/>
      <c r="J103" s="229"/>
      <c r="K103" s="63"/>
      <c r="L103" s="63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  <c r="X103" s="391"/>
      <c r="Y103" s="391"/>
    </row>
    <row r="104" spans="1:25" s="20" customFormat="1">
      <c r="A104" s="44"/>
      <c r="B104" s="63"/>
      <c r="D104" s="63"/>
      <c r="E104" s="63"/>
      <c r="F104" s="63"/>
      <c r="G104" s="63"/>
      <c r="H104" s="289"/>
      <c r="I104" s="63"/>
      <c r="J104" s="229"/>
      <c r="K104" s="63"/>
      <c r="L104" s="63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</row>
    <row r="105" spans="1:25" s="20" customFormat="1">
      <c r="A105" s="44"/>
      <c r="B105" s="63"/>
      <c r="D105" s="63"/>
      <c r="E105" s="63"/>
      <c r="F105" s="63"/>
      <c r="G105" s="63"/>
      <c r="H105" s="289"/>
      <c r="I105" s="63"/>
      <c r="J105" s="229"/>
      <c r="K105" s="63"/>
      <c r="L105" s="63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</row>
    <row r="106" spans="1:25" s="20" customFormat="1">
      <c r="A106" s="44"/>
      <c r="B106" s="63"/>
      <c r="D106" s="63"/>
      <c r="E106" s="63"/>
      <c r="F106" s="63"/>
      <c r="G106" s="63"/>
      <c r="H106" s="289"/>
      <c r="I106" s="63"/>
      <c r="J106" s="229"/>
      <c r="K106" s="63"/>
      <c r="L106" s="63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</row>
    <row r="107" spans="1:25" s="20" customFormat="1">
      <c r="A107" s="44"/>
      <c r="B107" s="63"/>
      <c r="D107" s="63"/>
      <c r="E107" s="63"/>
      <c r="F107" s="63"/>
      <c r="G107" s="63"/>
      <c r="H107" s="289"/>
      <c r="I107" s="63"/>
      <c r="J107" s="229"/>
      <c r="K107" s="63"/>
      <c r="L107" s="63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</row>
    <row r="108" spans="1:25" s="20" customFormat="1">
      <c r="A108" s="44"/>
      <c r="B108" s="63"/>
      <c r="D108" s="63"/>
      <c r="E108" s="63"/>
      <c r="F108" s="63"/>
      <c r="G108" s="63"/>
      <c r="H108" s="289"/>
      <c r="I108" s="63"/>
      <c r="J108" s="229"/>
      <c r="K108" s="63"/>
      <c r="L108" s="63"/>
      <c r="M108" s="391"/>
      <c r="N108" s="391"/>
      <c r="O108" s="391"/>
      <c r="P108" s="391"/>
      <c r="Q108" s="391"/>
      <c r="R108" s="391"/>
      <c r="S108" s="391"/>
      <c r="T108" s="391"/>
      <c r="U108" s="391"/>
      <c r="V108" s="391"/>
      <c r="W108" s="391"/>
      <c r="X108" s="391"/>
      <c r="Y108" s="391"/>
    </row>
    <row r="109" spans="1:25" s="20" customFormat="1">
      <c r="A109" s="44"/>
      <c r="B109" s="63"/>
      <c r="D109" s="63"/>
      <c r="E109" s="63"/>
      <c r="F109" s="63"/>
      <c r="G109" s="63"/>
      <c r="H109" s="289"/>
      <c r="I109" s="63"/>
      <c r="J109" s="229"/>
      <c r="K109" s="63"/>
      <c r="L109" s="63"/>
      <c r="M109" s="391"/>
      <c r="N109" s="391"/>
      <c r="O109" s="391"/>
      <c r="P109" s="391"/>
      <c r="Q109" s="391"/>
      <c r="R109" s="391"/>
      <c r="S109" s="391"/>
      <c r="T109" s="391"/>
      <c r="U109" s="391"/>
      <c r="V109" s="391"/>
      <c r="W109" s="391"/>
      <c r="X109" s="391"/>
      <c r="Y109" s="391"/>
    </row>
    <row r="110" spans="1:25" s="20" customFormat="1">
      <c r="A110" s="44"/>
      <c r="B110" s="63"/>
      <c r="D110" s="63"/>
      <c r="E110" s="63"/>
      <c r="F110" s="63"/>
      <c r="G110" s="63"/>
      <c r="H110" s="289"/>
      <c r="I110" s="63"/>
      <c r="J110" s="229"/>
      <c r="K110" s="63"/>
      <c r="L110" s="63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</row>
    <row r="111" spans="1:25" s="20" customFormat="1">
      <c r="A111" s="44"/>
      <c r="B111" s="63"/>
      <c r="D111" s="63"/>
      <c r="E111" s="63"/>
      <c r="F111" s="63"/>
      <c r="G111" s="63"/>
      <c r="H111" s="289"/>
      <c r="I111" s="63"/>
      <c r="J111" s="229"/>
      <c r="K111" s="63"/>
      <c r="L111" s="63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</row>
    <row r="112" spans="1:25" s="20" customFormat="1">
      <c r="A112" s="44"/>
      <c r="B112" s="63"/>
      <c r="D112" s="63"/>
      <c r="E112" s="63"/>
      <c r="F112" s="63"/>
      <c r="G112" s="63"/>
      <c r="H112" s="289"/>
      <c r="I112" s="63"/>
      <c r="J112" s="229"/>
      <c r="K112" s="63"/>
      <c r="L112" s="63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</row>
    <row r="113" spans="1:25" s="20" customFormat="1">
      <c r="A113" s="44"/>
      <c r="B113" s="63"/>
      <c r="D113" s="63"/>
      <c r="E113" s="63"/>
      <c r="F113" s="63"/>
      <c r="G113" s="63"/>
      <c r="H113" s="289"/>
      <c r="I113" s="63"/>
      <c r="J113" s="229"/>
      <c r="K113" s="63"/>
      <c r="L113" s="63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391"/>
      <c r="X113" s="391"/>
      <c r="Y113" s="391"/>
    </row>
    <row r="114" spans="1:25" s="20" customFormat="1">
      <c r="A114" s="44"/>
      <c r="B114" s="63"/>
      <c r="D114" s="63"/>
      <c r="E114" s="63"/>
      <c r="F114" s="63"/>
      <c r="G114" s="63"/>
      <c r="H114" s="289"/>
      <c r="I114" s="63"/>
      <c r="J114" s="229"/>
      <c r="K114" s="63"/>
      <c r="L114" s="63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  <c r="X114" s="391"/>
      <c r="Y114" s="391"/>
    </row>
    <row r="115" spans="1:25" s="20" customFormat="1">
      <c r="A115" s="44"/>
      <c r="B115" s="63"/>
      <c r="D115" s="63"/>
      <c r="E115" s="63"/>
      <c r="F115" s="63"/>
      <c r="G115" s="63"/>
      <c r="H115" s="289"/>
      <c r="I115" s="63"/>
      <c r="J115" s="229"/>
      <c r="K115" s="63"/>
      <c r="L115" s="63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  <c r="X115" s="391"/>
      <c r="Y115" s="391"/>
    </row>
    <row r="116" spans="1:25" s="20" customFormat="1">
      <c r="A116" s="44"/>
      <c r="B116" s="63"/>
      <c r="D116" s="63"/>
      <c r="E116" s="63"/>
      <c r="F116" s="63"/>
      <c r="G116" s="63"/>
      <c r="H116" s="289"/>
      <c r="I116" s="63"/>
      <c r="J116" s="229"/>
      <c r="K116" s="63"/>
      <c r="L116" s="63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</row>
    <row r="117" spans="1:25" s="20" customFormat="1">
      <c r="A117" s="44"/>
      <c r="B117" s="63"/>
      <c r="D117" s="63"/>
      <c r="E117" s="63"/>
      <c r="F117" s="63"/>
      <c r="G117" s="63"/>
      <c r="H117" s="289"/>
      <c r="I117" s="63"/>
      <c r="J117" s="229"/>
      <c r="K117" s="63"/>
      <c r="L117" s="63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  <c r="X117" s="391"/>
      <c r="Y117" s="391"/>
    </row>
    <row r="118" spans="1:25" s="20" customFormat="1">
      <c r="A118" s="44"/>
      <c r="B118" s="63"/>
      <c r="D118" s="63"/>
      <c r="E118" s="63"/>
      <c r="F118" s="63"/>
      <c r="G118" s="63"/>
      <c r="H118" s="289"/>
      <c r="I118" s="63"/>
      <c r="J118" s="229"/>
      <c r="K118" s="63"/>
      <c r="L118" s="63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  <c r="Y118" s="391"/>
    </row>
    <row r="119" spans="1:25" s="20" customFormat="1">
      <c r="A119" s="44"/>
      <c r="B119" s="63"/>
      <c r="D119" s="63"/>
      <c r="E119" s="63"/>
      <c r="F119" s="63"/>
      <c r="G119" s="63"/>
      <c r="H119" s="289"/>
      <c r="I119" s="63"/>
      <c r="J119" s="229"/>
      <c r="K119" s="63"/>
      <c r="L119" s="63"/>
      <c r="M119" s="391"/>
      <c r="N119" s="391"/>
      <c r="O119" s="391"/>
      <c r="P119" s="391"/>
      <c r="Q119" s="391"/>
      <c r="R119" s="391"/>
      <c r="S119" s="391"/>
      <c r="T119" s="391"/>
      <c r="U119" s="391"/>
      <c r="V119" s="391"/>
      <c r="W119" s="391"/>
      <c r="X119" s="391"/>
      <c r="Y119" s="391"/>
    </row>
    <row r="120" spans="1:25" s="20" customFormat="1">
      <c r="A120" s="44"/>
      <c r="B120" s="63"/>
      <c r="D120" s="63"/>
      <c r="E120" s="63"/>
      <c r="F120" s="63"/>
      <c r="G120" s="63"/>
      <c r="H120" s="289"/>
      <c r="I120" s="63"/>
      <c r="J120" s="229"/>
      <c r="K120" s="63"/>
      <c r="L120" s="63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  <c r="Y120" s="391"/>
    </row>
    <row r="121" spans="1:25" s="20" customFormat="1">
      <c r="A121" s="44"/>
      <c r="B121" s="63"/>
      <c r="D121" s="63"/>
      <c r="E121" s="63"/>
      <c r="F121" s="63"/>
      <c r="G121" s="63"/>
      <c r="H121" s="289"/>
      <c r="I121" s="63"/>
      <c r="J121" s="229"/>
      <c r="K121" s="63"/>
      <c r="L121" s="63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</row>
    <row r="122" spans="1:25" s="20" customFormat="1">
      <c r="A122" s="44"/>
      <c r="B122" s="63"/>
      <c r="D122" s="63"/>
      <c r="E122" s="63"/>
      <c r="F122" s="63"/>
      <c r="G122" s="63"/>
      <c r="H122" s="289"/>
      <c r="I122" s="63"/>
      <c r="J122" s="229"/>
      <c r="K122" s="63"/>
      <c r="L122" s="63"/>
      <c r="M122" s="391"/>
      <c r="N122" s="391"/>
      <c r="O122" s="391"/>
      <c r="P122" s="391"/>
      <c r="Q122" s="391"/>
      <c r="R122" s="391"/>
      <c r="S122" s="391"/>
      <c r="T122" s="391"/>
      <c r="U122" s="391"/>
      <c r="V122" s="391"/>
      <c r="W122" s="391"/>
      <c r="X122" s="391"/>
      <c r="Y122" s="391"/>
    </row>
    <row r="123" spans="1:25" s="20" customFormat="1">
      <c r="A123" s="44"/>
      <c r="B123" s="63"/>
      <c r="D123" s="63"/>
      <c r="E123" s="63"/>
      <c r="F123" s="63"/>
      <c r="G123" s="63"/>
      <c r="H123" s="289"/>
      <c r="I123" s="63"/>
      <c r="J123" s="229"/>
      <c r="K123" s="63"/>
      <c r="L123" s="63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1"/>
      <c r="X123" s="391"/>
      <c r="Y123" s="391"/>
    </row>
    <row r="124" spans="1:25" s="20" customFormat="1">
      <c r="A124" s="44"/>
      <c r="B124" s="63"/>
      <c r="D124" s="63"/>
      <c r="E124" s="63"/>
      <c r="F124" s="63"/>
      <c r="G124" s="63"/>
      <c r="H124" s="289"/>
      <c r="I124" s="63"/>
      <c r="J124" s="229"/>
      <c r="K124" s="63"/>
      <c r="L124" s="63"/>
      <c r="M124" s="391"/>
      <c r="N124" s="391"/>
      <c r="O124" s="391"/>
      <c r="P124" s="391"/>
      <c r="Q124" s="391"/>
      <c r="R124" s="391"/>
      <c r="S124" s="391"/>
      <c r="T124" s="391"/>
      <c r="U124" s="391"/>
      <c r="V124" s="391"/>
      <c r="W124" s="391"/>
      <c r="X124" s="391"/>
      <c r="Y124" s="391"/>
    </row>
    <row r="125" spans="1:25" s="20" customFormat="1">
      <c r="A125" s="44"/>
      <c r="B125" s="63"/>
      <c r="D125" s="63"/>
      <c r="E125" s="63"/>
      <c r="F125" s="63"/>
      <c r="G125" s="63"/>
      <c r="H125" s="289"/>
      <c r="I125" s="63"/>
      <c r="J125" s="229"/>
      <c r="K125" s="63"/>
      <c r="L125" s="63"/>
      <c r="M125" s="391"/>
      <c r="N125" s="391"/>
      <c r="O125" s="391"/>
      <c r="P125" s="391"/>
      <c r="Q125" s="391"/>
      <c r="R125" s="391"/>
      <c r="S125" s="391"/>
      <c r="T125" s="391"/>
      <c r="U125" s="391"/>
      <c r="V125" s="391"/>
      <c r="W125" s="391"/>
      <c r="X125" s="391"/>
      <c r="Y125" s="391"/>
    </row>
    <row r="126" spans="1:25" s="391" customFormat="1">
      <c r="A126" s="44"/>
      <c r="B126" s="63"/>
      <c r="C126" s="20"/>
      <c r="D126" s="63"/>
      <c r="E126" s="63"/>
      <c r="F126" s="63"/>
      <c r="G126" s="63"/>
      <c r="H126" s="289"/>
      <c r="I126" s="63"/>
      <c r="J126" s="229"/>
      <c r="K126" s="63"/>
      <c r="L126" s="63"/>
    </row>
    <row r="127" spans="1:25" s="391" customFormat="1">
      <c r="A127" s="44"/>
      <c r="B127" s="63"/>
      <c r="C127" s="20"/>
      <c r="D127" s="63"/>
      <c r="E127" s="63"/>
      <c r="F127" s="63"/>
      <c r="G127" s="63"/>
      <c r="H127" s="289"/>
      <c r="I127" s="63"/>
      <c r="J127" s="229"/>
      <c r="K127" s="63"/>
      <c r="L127" s="63"/>
    </row>
    <row r="128" spans="1:25" s="391" customFormat="1">
      <c r="A128" s="44"/>
      <c r="B128" s="63"/>
      <c r="C128" s="20"/>
      <c r="D128" s="63"/>
      <c r="E128" s="63"/>
      <c r="F128" s="63"/>
      <c r="G128" s="63"/>
      <c r="H128" s="289"/>
      <c r="I128" s="63"/>
      <c r="J128" s="229"/>
      <c r="K128" s="63"/>
      <c r="L128" s="63"/>
    </row>
    <row r="129" spans="1:12" s="391" customFormat="1">
      <c r="A129" s="44"/>
      <c r="B129" s="63"/>
      <c r="C129" s="20"/>
      <c r="D129" s="63"/>
      <c r="E129" s="63"/>
      <c r="F129" s="63"/>
      <c r="G129" s="63"/>
      <c r="H129" s="289"/>
      <c r="I129" s="63"/>
      <c r="J129" s="229"/>
      <c r="K129" s="63"/>
      <c r="L129" s="63"/>
    </row>
    <row r="130" spans="1:12" s="391" customFormat="1">
      <c r="A130" s="44"/>
      <c r="B130" s="63"/>
      <c r="C130" s="20"/>
      <c r="D130" s="63"/>
      <c r="E130" s="63"/>
      <c r="F130" s="63"/>
      <c r="G130" s="63"/>
      <c r="H130" s="289"/>
      <c r="I130" s="63"/>
      <c r="J130" s="229"/>
      <c r="K130" s="63"/>
      <c r="L130" s="63"/>
    </row>
    <row r="131" spans="1:12" s="391" customFormat="1">
      <c r="A131" s="44"/>
      <c r="B131" s="63"/>
      <c r="C131" s="20"/>
      <c r="D131" s="63"/>
      <c r="E131" s="63"/>
      <c r="F131" s="63"/>
      <c r="G131" s="63"/>
      <c r="H131" s="289"/>
      <c r="I131" s="63"/>
      <c r="J131" s="229"/>
      <c r="K131" s="63"/>
      <c r="L131" s="63"/>
    </row>
    <row r="132" spans="1:12" s="391" customFormat="1">
      <c r="A132" s="44"/>
      <c r="B132" s="63"/>
      <c r="C132" s="20"/>
      <c r="D132" s="63"/>
      <c r="E132" s="63"/>
      <c r="F132" s="63"/>
      <c r="G132" s="63"/>
      <c r="H132" s="289"/>
      <c r="I132" s="63"/>
      <c r="J132" s="229"/>
      <c r="K132" s="63"/>
      <c r="L132" s="63"/>
    </row>
    <row r="133" spans="1:12" s="391" customFormat="1">
      <c r="A133" s="44"/>
      <c r="B133" s="63"/>
      <c r="C133" s="20"/>
      <c r="D133" s="63"/>
      <c r="E133" s="63"/>
      <c r="F133" s="63"/>
      <c r="G133" s="63"/>
      <c r="H133" s="289"/>
      <c r="I133" s="63"/>
      <c r="J133" s="229"/>
      <c r="K133" s="63"/>
      <c r="L133" s="63"/>
    </row>
    <row r="134" spans="1:12" s="391" customFormat="1">
      <c r="A134" s="44"/>
      <c r="B134" s="63"/>
      <c r="C134" s="20"/>
      <c r="D134" s="63"/>
      <c r="E134" s="63"/>
      <c r="F134" s="63"/>
      <c r="G134" s="63"/>
      <c r="H134" s="289"/>
      <c r="I134" s="63"/>
      <c r="J134" s="229"/>
      <c r="K134" s="63"/>
      <c r="L134" s="63"/>
    </row>
    <row r="135" spans="1:12" s="391" customFormat="1">
      <c r="A135" s="44"/>
      <c r="B135" s="63"/>
      <c r="C135" s="20"/>
      <c r="D135" s="63"/>
      <c r="E135" s="63"/>
      <c r="F135" s="63"/>
      <c r="G135" s="63"/>
      <c r="H135" s="289"/>
      <c r="I135" s="63"/>
      <c r="J135" s="229"/>
      <c r="K135" s="63"/>
      <c r="L135" s="63"/>
    </row>
    <row r="136" spans="1:12" s="391" customFormat="1">
      <c r="A136" s="44"/>
      <c r="B136" s="63"/>
      <c r="C136" s="20"/>
      <c r="D136" s="63"/>
      <c r="E136" s="63"/>
      <c r="F136" s="63"/>
      <c r="G136" s="63"/>
      <c r="H136" s="289"/>
      <c r="I136" s="63"/>
      <c r="J136" s="229"/>
      <c r="K136" s="63"/>
      <c r="L136" s="63"/>
    </row>
    <row r="137" spans="1:12" s="391" customFormat="1">
      <c r="A137" s="44"/>
      <c r="B137" s="63"/>
      <c r="C137" s="20"/>
      <c r="D137" s="63"/>
      <c r="E137" s="63"/>
      <c r="F137" s="63"/>
      <c r="G137" s="63"/>
      <c r="H137" s="289"/>
      <c r="I137" s="63"/>
      <c r="J137" s="229"/>
      <c r="K137" s="63"/>
      <c r="L137" s="63"/>
    </row>
    <row r="138" spans="1:12" s="391" customFormat="1">
      <c r="A138" s="44"/>
      <c r="B138" s="63"/>
      <c r="C138" s="20"/>
      <c r="D138" s="63"/>
      <c r="E138" s="63"/>
      <c r="F138" s="63"/>
      <c r="G138" s="63"/>
      <c r="H138" s="289"/>
      <c r="I138" s="63"/>
      <c r="J138" s="229"/>
      <c r="K138" s="63"/>
      <c r="L138" s="63"/>
    </row>
    <row r="139" spans="1:12" s="391" customFormat="1">
      <c r="A139" s="44"/>
      <c r="B139" s="63"/>
      <c r="C139" s="20"/>
      <c r="D139" s="63"/>
      <c r="E139" s="63"/>
      <c r="F139" s="63"/>
      <c r="G139" s="63"/>
      <c r="H139" s="289"/>
      <c r="I139" s="63"/>
      <c r="J139" s="229"/>
      <c r="K139" s="63"/>
      <c r="L139" s="63"/>
    </row>
    <row r="140" spans="1:12" s="391" customFormat="1">
      <c r="A140" s="44"/>
      <c r="B140" s="63"/>
      <c r="C140" s="20"/>
      <c r="D140" s="63"/>
      <c r="E140" s="63"/>
      <c r="F140" s="63"/>
      <c r="G140" s="63"/>
      <c r="H140" s="289"/>
      <c r="I140" s="63"/>
      <c r="J140" s="229"/>
      <c r="K140" s="63"/>
      <c r="L140" s="63"/>
    </row>
    <row r="141" spans="1:12" s="391" customFormat="1">
      <c r="A141" s="53"/>
      <c r="B141" s="20"/>
      <c r="C141" s="20"/>
      <c r="D141" s="20"/>
      <c r="E141" s="20"/>
      <c r="F141" s="20"/>
      <c r="G141" s="20"/>
      <c r="H141" s="284"/>
      <c r="I141" s="20"/>
      <c r="J141" s="57"/>
      <c r="K141" s="20"/>
      <c r="L141" s="20"/>
    </row>
    <row r="142" spans="1:12" s="391" customFormat="1">
      <c r="A142" s="53"/>
      <c r="B142" s="20"/>
      <c r="C142" s="20"/>
      <c r="D142" s="20"/>
      <c r="E142" s="20"/>
      <c r="F142" s="20"/>
      <c r="G142" s="20"/>
      <c r="H142" s="284"/>
      <c r="I142" s="20"/>
      <c r="J142" s="57"/>
      <c r="K142" s="20"/>
      <c r="L142" s="20"/>
    </row>
    <row r="143" spans="1:12" s="391" customFormat="1">
      <c r="A143" s="53"/>
      <c r="B143" s="20"/>
      <c r="C143" s="20"/>
      <c r="D143" s="20"/>
      <c r="E143" s="20"/>
      <c r="F143" s="20"/>
      <c r="G143" s="20"/>
      <c r="H143" s="284"/>
      <c r="I143" s="20"/>
      <c r="J143" s="57"/>
      <c r="K143" s="20"/>
      <c r="L143" s="20"/>
    </row>
    <row r="144" spans="1:12" s="391" customFormat="1">
      <c r="A144" s="53"/>
      <c r="B144" s="20"/>
      <c r="C144" s="20"/>
      <c r="D144" s="20"/>
      <c r="E144" s="20"/>
      <c r="F144" s="20"/>
      <c r="G144" s="20"/>
      <c r="H144" s="284"/>
      <c r="I144" s="20"/>
      <c r="J144" s="57"/>
      <c r="K144" s="20"/>
      <c r="L144" s="20"/>
    </row>
    <row r="145" spans="1:12" s="391" customFormat="1">
      <c r="A145" s="53"/>
      <c r="B145" s="20"/>
      <c r="C145" s="20"/>
      <c r="D145" s="20"/>
      <c r="E145" s="20"/>
      <c r="F145" s="20"/>
      <c r="G145" s="20"/>
      <c r="H145" s="284"/>
      <c r="I145" s="20"/>
      <c r="J145" s="57"/>
      <c r="K145" s="20"/>
      <c r="L145" s="20"/>
    </row>
    <row r="146" spans="1:12" s="391" customFormat="1">
      <c r="A146" s="53"/>
      <c r="B146" s="20"/>
      <c r="C146" s="20"/>
      <c r="D146" s="20"/>
      <c r="E146" s="20"/>
      <c r="F146" s="20"/>
      <c r="G146" s="20"/>
      <c r="H146" s="284"/>
      <c r="I146" s="20"/>
      <c r="J146" s="57"/>
      <c r="K146" s="20"/>
      <c r="L146" s="20"/>
    </row>
    <row r="147" spans="1:12" s="391" customFormat="1">
      <c r="A147" s="53"/>
      <c r="B147" s="20"/>
      <c r="C147" s="20"/>
      <c r="D147" s="20"/>
      <c r="E147" s="20"/>
      <c r="F147" s="20"/>
      <c r="G147" s="20"/>
      <c r="H147" s="284"/>
      <c r="I147" s="20"/>
      <c r="J147" s="57"/>
      <c r="K147" s="20"/>
      <c r="L147" s="20"/>
    </row>
    <row r="148" spans="1:12" s="391" customFormat="1">
      <c r="A148" s="53"/>
      <c r="B148" s="20"/>
      <c r="C148" s="20"/>
      <c r="D148" s="20"/>
      <c r="E148" s="20"/>
      <c r="F148" s="20"/>
      <c r="G148" s="20"/>
      <c r="H148" s="284"/>
      <c r="I148" s="20"/>
      <c r="J148" s="57"/>
      <c r="K148" s="20"/>
      <c r="L148" s="20"/>
    </row>
    <row r="149" spans="1:12" s="391" customFormat="1">
      <c r="A149" s="53"/>
      <c r="B149" s="20"/>
      <c r="C149" s="20"/>
      <c r="D149" s="20"/>
      <c r="E149" s="20"/>
      <c r="F149" s="20"/>
      <c r="G149" s="20"/>
      <c r="H149" s="284"/>
      <c r="I149" s="20"/>
      <c r="J149" s="57"/>
      <c r="K149" s="20"/>
      <c r="L149" s="20"/>
    </row>
    <row r="150" spans="1:12" s="391" customFormat="1">
      <c r="A150" s="53"/>
      <c r="B150" s="20"/>
      <c r="C150" s="20"/>
      <c r="D150" s="20"/>
      <c r="E150" s="20"/>
      <c r="F150" s="20"/>
      <c r="G150" s="20"/>
      <c r="H150" s="284"/>
      <c r="I150" s="20"/>
      <c r="J150" s="57"/>
      <c r="K150" s="20"/>
      <c r="L150" s="20"/>
    </row>
    <row r="151" spans="1:12" s="391" customFormat="1">
      <c r="A151" s="53"/>
      <c r="B151" s="20"/>
      <c r="C151" s="20"/>
      <c r="D151" s="20"/>
      <c r="E151" s="20"/>
      <c r="F151" s="20"/>
      <c r="G151" s="20"/>
      <c r="H151" s="284"/>
      <c r="I151" s="20"/>
      <c r="J151" s="57"/>
      <c r="K151" s="20"/>
      <c r="L151" s="20"/>
    </row>
    <row r="167" spans="2:25" s="44" customFormat="1" ht="36.6" customHeight="1">
      <c r="B167" s="45"/>
      <c r="C167" s="20"/>
      <c r="D167" s="63"/>
      <c r="E167" s="63"/>
      <c r="F167" s="63"/>
      <c r="G167" s="63"/>
      <c r="H167" s="289"/>
      <c r="I167" s="63"/>
      <c r="J167" s="229"/>
      <c r="K167" s="63"/>
      <c r="L167" s="63"/>
      <c r="M167" s="391"/>
      <c r="N167" s="391"/>
      <c r="O167" s="391"/>
      <c r="P167" s="391"/>
      <c r="Q167" s="391"/>
      <c r="R167" s="391"/>
      <c r="S167" s="391"/>
      <c r="T167" s="391"/>
      <c r="U167" s="391"/>
      <c r="V167" s="391"/>
      <c r="W167" s="391"/>
      <c r="X167" s="391"/>
      <c r="Y167" s="391"/>
    </row>
    <row r="174" spans="2:25" s="44" customFormat="1" ht="42.6" customHeight="1">
      <c r="B174" s="45"/>
      <c r="C174" s="20"/>
      <c r="D174" s="63"/>
      <c r="E174" s="63"/>
      <c r="F174" s="63"/>
      <c r="G174" s="63"/>
      <c r="H174" s="289"/>
      <c r="I174" s="63"/>
      <c r="J174" s="229"/>
      <c r="K174" s="63"/>
      <c r="L174" s="63"/>
      <c r="M174" s="391"/>
      <c r="N174" s="391"/>
      <c r="O174" s="391"/>
      <c r="P174" s="391"/>
      <c r="Q174" s="391"/>
      <c r="R174" s="391"/>
      <c r="S174" s="391"/>
      <c r="T174" s="391"/>
      <c r="U174" s="391"/>
      <c r="V174" s="391"/>
      <c r="W174" s="391"/>
      <c r="X174" s="391"/>
      <c r="Y174" s="391"/>
    </row>
    <row r="181" spans="2:25" s="44" customFormat="1" ht="39.6" customHeight="1">
      <c r="B181" s="45"/>
      <c r="C181" s="20"/>
      <c r="D181" s="63"/>
      <c r="E181" s="63"/>
      <c r="F181" s="63"/>
      <c r="G181" s="63"/>
      <c r="H181" s="289"/>
      <c r="I181" s="63"/>
      <c r="J181" s="229"/>
      <c r="K181" s="63"/>
      <c r="L181" s="63"/>
      <c r="M181" s="391"/>
      <c r="N181" s="391"/>
      <c r="O181" s="391"/>
      <c r="P181" s="391"/>
      <c r="Q181" s="391"/>
      <c r="R181" s="391"/>
      <c r="S181" s="391"/>
      <c r="T181" s="391"/>
      <c r="U181" s="391"/>
      <c r="V181" s="391"/>
      <c r="W181" s="391"/>
      <c r="X181" s="391"/>
      <c r="Y181" s="391"/>
    </row>
    <row r="472" spans="1:25" s="20" customFormat="1">
      <c r="A472" s="44"/>
      <c r="B472" s="45" t="s">
        <v>174</v>
      </c>
      <c r="D472" s="63"/>
      <c r="E472" s="63"/>
      <c r="F472" s="63"/>
      <c r="G472" s="63"/>
      <c r="H472" s="289"/>
      <c r="I472" s="63"/>
      <c r="J472" s="229"/>
      <c r="K472" s="63"/>
      <c r="L472" s="63"/>
      <c r="M472" s="391"/>
      <c r="N472" s="391"/>
      <c r="O472" s="391"/>
      <c r="P472" s="391"/>
      <c r="Q472" s="391"/>
      <c r="R472" s="391"/>
      <c r="S472" s="391"/>
      <c r="T472" s="391"/>
      <c r="U472" s="391"/>
      <c r="V472" s="391"/>
      <c r="W472" s="391"/>
      <c r="X472" s="391"/>
      <c r="Y472" s="391"/>
    </row>
  </sheetData>
  <autoFilter ref="A8:L57"/>
  <mergeCells count="10">
    <mergeCell ref="L6:L7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18110236220472" right="0.118110236220472" top="0.31299212599999998" bottom="0.25" header="0.66929133858267698" footer="0.31496062992126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თ.ფ-1</vt:lpstr>
      <vt:lpstr>თ.ფ-1 (2)</vt:lpstr>
      <vt:lpstr>გბ</vt:lpstr>
      <vt:lpstr>კრებ-1</vt:lpstr>
      <vt:lpstr>1-1-სამ-აფრიკა</vt:lpstr>
      <vt:lpstr>1-2-წკ</vt:lpstr>
      <vt:lpstr>1-3-გარე ქსელები</vt:lpstr>
      <vt:lpstr>1-4 ელ</vt:lpstr>
      <vt:lpstr>1-5-ვკ</vt:lpstr>
      <vt:lpstr>1-6-ეზო</vt:lpstr>
      <vt:lpstr>'1-1-სამ-აფრიკა'!Print_Area</vt:lpstr>
      <vt:lpstr>'1-2-წკ'!Print_Area</vt:lpstr>
      <vt:lpstr>'1-3-გარე ქსელები'!Print_Area</vt:lpstr>
      <vt:lpstr>'1-5-ვკ'!Print_Area</vt:lpstr>
      <vt:lpstr>'1-6-ეზო'!Print_Area</vt:lpstr>
      <vt:lpstr>გბ!Print_Area</vt:lpstr>
      <vt:lpstr>'1-1-სამ-აფრიკა'!Print_Titles</vt:lpstr>
      <vt:lpstr>'1-2-წკ'!Print_Titles</vt:lpstr>
      <vt:lpstr>'1-3-გარე ქსელები'!Print_Titles</vt:lpstr>
      <vt:lpstr>'1-5-ვკ'!Print_Titles</vt:lpstr>
      <vt:lpstr>'1-6-ეზო'!Print_Titles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Soso Karseladze</cp:lastModifiedBy>
  <cp:lastPrinted>2021-07-23T15:20:47Z</cp:lastPrinted>
  <dcterms:created xsi:type="dcterms:W3CDTF">2016-12-11T22:18:00Z</dcterms:created>
  <dcterms:modified xsi:type="dcterms:W3CDTF">2021-08-16T11:24:19Z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